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85" windowWidth="17250" windowHeight="3330" tabRatio="599" firstSheet="2" activeTab="3"/>
  </bookViews>
  <sheets>
    <sheet name="Traffic data for database" sheetId="1" state="veryHidden" r:id="rId1"/>
    <sheet name="Sheet1" sheetId="2" state="veryHidden" r:id="rId2"/>
    <sheet name="Region summary" sheetId="3" r:id="rId3"/>
    <sheet name="Compare regions" sheetId="4" r:id="rId4"/>
    <sheet name="Detail by size segment" sheetId="5" r:id="rId5"/>
    <sheet name="Airplane demand summary" sheetId="6" r:id="rId6"/>
    <sheet name="Traffic by flow" sheetId="7" r:id="rId7"/>
    <sheet name="Traffic within and between" sheetId="8" r:id="rId8"/>
    <sheet name="Traffic by region" sheetId="9" r:id="rId9"/>
    <sheet name="Aircraft market sectors" sheetId="10" r:id="rId10"/>
  </sheets>
  <externalReferences>
    <externalReference r:id="rId14"/>
  </externalReferences>
  <definedNames>
    <definedName name="_xlnm.Print_Area" localSheetId="9">'Aircraft market sectors'!$A$1:$D$45</definedName>
    <definedName name="_xlnm.Print_Area" localSheetId="5">'Airplane demand summary'!$A$1:$J$183</definedName>
    <definedName name="_xlnm.Print_Area" localSheetId="3">'Compare regions'!$A$5:$D$59</definedName>
    <definedName name="_xlnm.Print_Area" localSheetId="4">'Detail by size segment'!$A$1:$F$62</definedName>
    <definedName name="_xlnm.Print_Area" localSheetId="2">'Region summary'!$B$11:$M$94</definedName>
    <definedName name="_xlnm.Print_Area" localSheetId="6">'Traffic by flow'!$A$6:$M$52</definedName>
    <definedName name="_xlnm.Print_Area" localSheetId="8">'Traffic by region'!$A$1:$K$39</definedName>
    <definedName name="_xlnm.Print_Area" localSheetId="7">'Traffic within and between'!$A$1:$G$35</definedName>
    <definedName name="BaseYear" localSheetId="6">'[1]Region summary'!$F$2</definedName>
    <definedName name="baseyear" localSheetId="0">'Sheet1'!$C$1</definedName>
    <definedName name="baseyear">'Sheet1'!$C$1</definedName>
    <definedName name="endyear">'Sheet1'!$F$1</definedName>
    <definedName name="Forecast_timeframe" localSheetId="0">'Sheet1'!$F$113</definedName>
    <definedName name="Forecast_timeframe">'Sheet1'!$F$113</definedName>
    <definedName name="hhh">'Sheet1'!$C$1</definedName>
    <definedName name="_xlnm.Print_Titles" localSheetId="2">'Region summary'!$1:$3</definedName>
  </definedNames>
  <calcPr fullCalcOnLoad="1"/>
  <pivotCaches>
    <pivotCache cacheId="10" r:id="rId11"/>
  </pivotCaches>
</workbook>
</file>

<file path=xl/sharedStrings.xml><?xml version="1.0" encoding="utf-8"?>
<sst xmlns="http://schemas.openxmlformats.org/spreadsheetml/2006/main" count="2138" uniqueCount="683">
  <si>
    <t xml:space="preserve">Within South Asia </t>
  </si>
  <si>
    <t xml:space="preserve">Southeast Asia to and from South Asia </t>
  </si>
  <si>
    <t xml:space="preserve">Middle East to and from South Asia </t>
  </si>
  <si>
    <t xml:space="preserve">Europe to and from South Asia </t>
  </si>
  <si>
    <t>Freight Standard20 years2011</t>
  </si>
  <si>
    <t>Passenger Small Twin Aisle20 years2011</t>
  </si>
  <si>
    <t>Airline traffic distribution by region (RPKs) in 2010</t>
  </si>
  <si>
    <t>Airline traffic distribution by region (RPKs) in 2030</t>
  </si>
  <si>
    <t>1. In 2010, traffic within North America accounted for 50% of the total traffic to, from and within North America</t>
  </si>
  <si>
    <t>2. Traffic within Asia Pacific will rise from 57% of the total traffic to, from and within Asia Pacific in 2010 to 62% by 2030</t>
  </si>
  <si>
    <t>Go to Data/Validation to update new rows</t>
  </si>
  <si>
    <t>Sum of 2009</t>
  </si>
  <si>
    <t>Within the C.I.S Region</t>
  </si>
  <si>
    <t>C.I.S region to and from International</t>
  </si>
  <si>
    <t>End of year 2010</t>
  </si>
  <si>
    <t>New deliveries 2011 to 2030</t>
  </si>
  <si>
    <t>End of year 2030</t>
  </si>
  <si>
    <t>Passenger Single Aisle</t>
  </si>
  <si>
    <t>China 2011 20 years</t>
  </si>
  <si>
    <t>South Asia 2011 20 years</t>
  </si>
  <si>
    <t>Southeast Asia 2011 20 years</t>
  </si>
  <si>
    <t>Northeast Asia 2011 20 years</t>
  </si>
  <si>
    <t>United States 2011 20 years</t>
  </si>
  <si>
    <t>Canada 2011 20 years</t>
  </si>
  <si>
    <t>Europe 2011 20 years</t>
  </si>
  <si>
    <t>South America 2011 20 years</t>
  </si>
  <si>
    <t>Central America 2011 20 years</t>
  </si>
  <si>
    <t>Middle East 2011 20 years</t>
  </si>
  <si>
    <t>C.I.S. 2011 20 years</t>
  </si>
  <si>
    <t>Africa 2011 20 years</t>
  </si>
  <si>
    <t>Asia Pacific 2011 20 years</t>
  </si>
  <si>
    <t>North America 2011 20 years</t>
  </si>
  <si>
    <t>Latin America 2011 20 years</t>
  </si>
  <si>
    <t>World 2011 20 years</t>
  </si>
  <si>
    <t>Freight large20 years2011</t>
  </si>
  <si>
    <t>Freight medium widebody20 years2011</t>
  </si>
  <si>
    <t>Passenger Medium Twin Aisle20 years2011</t>
  </si>
  <si>
    <t>Passenger Large20 years2011</t>
  </si>
  <si>
    <t>Passenger Regional Jets20 years2011</t>
  </si>
  <si>
    <t>Passenger 90 to 175 Seats single aisle20 years2011</t>
  </si>
  <si>
    <t>Passenger More than 175 seats single aisle20 years2011</t>
  </si>
  <si>
    <t>Passenger Twin Aisle Total20 years2011</t>
  </si>
  <si>
    <t>Passenger Single Aisle Total20 years2011</t>
  </si>
  <si>
    <t>Passenger Total20 years2011</t>
  </si>
  <si>
    <t>Freighter Total20 years2011</t>
  </si>
  <si>
    <t>Total20 years2011</t>
  </si>
  <si>
    <t>© Boeing 2011</t>
  </si>
  <si>
    <t>Boeing Current Market Outlook 2011 to 2030</t>
  </si>
  <si>
    <t>2010 to 2030</t>
  </si>
  <si>
    <t>2011 to 2030</t>
  </si>
  <si>
    <t>2010 and 2030</t>
  </si>
  <si>
    <t>All vaues are expressed as catalog prices, 2010 $</t>
  </si>
  <si>
    <t>2010 $B</t>
  </si>
  <si>
    <t>Values in 2011 $B</t>
  </si>
  <si>
    <t>Fleet by Region in 2010</t>
  </si>
  <si>
    <t>Fleet by Region in 2030</t>
  </si>
  <si>
    <t>Asia-Pacific</t>
  </si>
  <si>
    <t>C.I.S.</t>
  </si>
  <si>
    <t>China 2010 20 years</t>
  </si>
  <si>
    <t>South Asia 2010 20 years</t>
  </si>
  <si>
    <t>Southeast Asia 2010 20 years</t>
  </si>
  <si>
    <t>Northeast Asia 2010 20 years</t>
  </si>
  <si>
    <t>United States 2010 20 years</t>
  </si>
  <si>
    <t>Canada 2010 20 years</t>
  </si>
  <si>
    <t>Europe 2010 20 years</t>
  </si>
  <si>
    <t>South America 2010 20 years</t>
  </si>
  <si>
    <t>Central America 2010 20 years</t>
  </si>
  <si>
    <t>Middle East 2010 20 years</t>
  </si>
  <si>
    <t>C.I.S. 2010 20 years</t>
  </si>
  <si>
    <t>Africa 2010 20 years</t>
  </si>
  <si>
    <t>North America 2010 20 years</t>
  </si>
  <si>
    <t>Latin America 2010 20 years</t>
  </si>
  <si>
    <t>World 2010 20 years</t>
  </si>
  <si>
    <t>C.I.S. 2008 20 years</t>
  </si>
  <si>
    <t>C.I.S. 2008 10 years</t>
  </si>
  <si>
    <t>C.I.S. 2009 20 years</t>
  </si>
  <si>
    <t>Oceania (Australasia) 2010 20 years</t>
  </si>
  <si>
    <t>C.I.S. 2009 10 years</t>
  </si>
  <si>
    <t>Asia Pacific 2010 20 years</t>
  </si>
  <si>
    <t>Region</t>
  </si>
  <si>
    <t>GDP growth rate</t>
  </si>
  <si>
    <t>Traffic growth rate</t>
  </si>
  <si>
    <t>Cargo growth rate</t>
  </si>
  <si>
    <t>Fleet growth rate</t>
  </si>
  <si>
    <t>Market value</t>
  </si>
  <si>
    <t>Average new Airplane value</t>
  </si>
  <si>
    <t>New deliveries twin aisle</t>
  </si>
  <si>
    <t>New deliveries single aisle</t>
  </si>
  <si>
    <t>New deliveries regional jets</t>
  </si>
  <si>
    <t>Unit deliveries market share twin aisle</t>
  </si>
  <si>
    <t>Unit deliveries market share single aisle</t>
  </si>
  <si>
    <t>Unit deliveries market share regional jets</t>
  </si>
  <si>
    <t>Fleet in base year</t>
  </si>
  <si>
    <t>Fleet in end year</t>
  </si>
  <si>
    <t>Base year twin aisle</t>
  </si>
  <si>
    <t>Base year single aisle</t>
  </si>
  <si>
    <t>Base year regional jets</t>
  </si>
  <si>
    <t>End year twin aisle</t>
  </si>
  <si>
    <t>End year single aisle</t>
  </si>
  <si>
    <t>End year regional jets</t>
  </si>
  <si>
    <t>World</t>
  </si>
  <si>
    <t>North America</t>
  </si>
  <si>
    <t>Europe</t>
  </si>
  <si>
    <t>Middle East</t>
  </si>
  <si>
    <t>Latin America</t>
  </si>
  <si>
    <t>Africa</t>
  </si>
  <si>
    <t>Russia and Central Asia</t>
  </si>
  <si>
    <t>Subregion</t>
  </si>
  <si>
    <t>China</t>
  </si>
  <si>
    <t>Oceania (Australasia)</t>
  </si>
  <si>
    <t>Northeast Asia</t>
  </si>
  <si>
    <t>Southeast Asia</t>
  </si>
  <si>
    <t>Forecast year</t>
  </si>
  <si>
    <t>Subreg year</t>
  </si>
  <si>
    <t>Twin aisle</t>
  </si>
  <si>
    <t>Single aisle</t>
  </si>
  <si>
    <t>Regional jets</t>
  </si>
  <si>
    <t>New deliveries</t>
  </si>
  <si>
    <t>Average airplane value</t>
  </si>
  <si>
    <t>Fleet size</t>
  </si>
  <si>
    <t>Total deliveries</t>
  </si>
  <si>
    <t>Market share by size (%)</t>
  </si>
  <si>
    <t>baseyear</t>
  </si>
  <si>
    <t>Growth measures</t>
  </si>
  <si>
    <t>Market size</t>
  </si>
  <si>
    <t>(%)</t>
  </si>
  <si>
    <t>New deliveries (units)</t>
  </si>
  <si>
    <t>Market value ($B)</t>
  </si>
  <si>
    <t>Airplane size</t>
  </si>
  <si>
    <t>Passenger and freight classes</t>
  </si>
  <si>
    <t>Market share units</t>
  </si>
  <si>
    <t>Market share value</t>
  </si>
  <si>
    <t>Fleet share in base year</t>
  </si>
  <si>
    <t>Fleet share in end year</t>
  </si>
  <si>
    <t>Removed</t>
  </si>
  <si>
    <t>Converted to freighter</t>
  </si>
  <si>
    <t>Medium twin aisle</t>
  </si>
  <si>
    <t>Small twin aisle</t>
  </si>
  <si>
    <t>More than 175 seats single aisle</t>
  </si>
  <si>
    <t>90 to 175 seats single aisle</t>
  </si>
  <si>
    <t>Freight large</t>
  </si>
  <si>
    <t>Freight medium widebody</t>
  </si>
  <si>
    <t>Large freighter</t>
  </si>
  <si>
    <t>Medium widebody</t>
  </si>
  <si>
    <t>Standard</t>
  </si>
  <si>
    <t>Passenger and freight markets detail</t>
  </si>
  <si>
    <t>Freight standard</t>
  </si>
  <si>
    <t>Airline traffic growth by regional flow</t>
  </si>
  <si>
    <t>RPKs in billions</t>
  </si>
  <si>
    <t>Percent per year</t>
  </si>
  <si>
    <t>Traffic flow</t>
  </si>
  <si>
    <t>Selector</t>
  </si>
  <si>
    <t>Within Africa</t>
  </si>
  <si>
    <t>Central America</t>
  </si>
  <si>
    <t>Africa to and from Europe</t>
  </si>
  <si>
    <t>Africa to and from Middle East</t>
  </si>
  <si>
    <t>Africa to and from North America</t>
  </si>
  <si>
    <t>Africa to and from Southeast Asia</t>
  </si>
  <si>
    <t>Within Central America</t>
  </si>
  <si>
    <t>Central America to and from Europe</t>
  </si>
  <si>
    <t>Central America to and from North America</t>
  </si>
  <si>
    <t>Rest of the world</t>
  </si>
  <si>
    <t>Central America to and from South America</t>
  </si>
  <si>
    <t>South America</t>
  </si>
  <si>
    <t>Within China</t>
  </si>
  <si>
    <t>China to and from Europe</t>
  </si>
  <si>
    <t>China to and from North America</t>
  </si>
  <si>
    <t>China to and from Northeast Asia</t>
  </si>
  <si>
    <t>World total</t>
  </si>
  <si>
    <t>China to and from Southeast Asia</t>
  </si>
  <si>
    <t>Russia and Central Asia to and from International</t>
  </si>
  <si>
    <t>International</t>
  </si>
  <si>
    <t>Within Europe</t>
  </si>
  <si>
    <t>Europe to and from Middle East</t>
  </si>
  <si>
    <t>Europe to and from North America</t>
  </si>
  <si>
    <t>Europe to and from Northeast Asia</t>
  </si>
  <si>
    <t>Europe to and from South America</t>
  </si>
  <si>
    <t>Europe to and from Southeast Asia</t>
  </si>
  <si>
    <t>Within Middle East</t>
  </si>
  <si>
    <t>Middle East to and from North America</t>
  </si>
  <si>
    <t>Middle East to and from Southeast Asia</t>
  </si>
  <si>
    <t>Within North America</t>
  </si>
  <si>
    <t>North America to and from Northeast Asia</t>
  </si>
  <si>
    <t>North America to and from South America</t>
  </si>
  <si>
    <t>North America to and from Southeast Asia</t>
  </si>
  <si>
    <t>Within Northeast Asia</t>
  </si>
  <si>
    <t>Northeast Asia to and from Southeast Asia</t>
  </si>
  <si>
    <t>Within South America</t>
  </si>
  <si>
    <t>Within Southeast Asia</t>
  </si>
  <si>
    <t>Rest of the World</t>
  </si>
  <si>
    <t>World Total</t>
  </si>
  <si>
    <t>Grand Total</t>
  </si>
  <si>
    <t>Sum of 2000</t>
  </si>
  <si>
    <t>Data</t>
  </si>
  <si>
    <t>Sum of 2001</t>
  </si>
  <si>
    <t>Sum of 2002</t>
  </si>
  <si>
    <t>Sum of 2003</t>
  </si>
  <si>
    <t>Sum of 2004</t>
  </si>
  <si>
    <t>Sum of 2005</t>
  </si>
  <si>
    <t>Sum of 2006</t>
  </si>
  <si>
    <t>Sum of 2007</t>
  </si>
  <si>
    <t>Include this row?</t>
  </si>
  <si>
    <t>Annual growth, %</t>
  </si>
  <si>
    <t>Forecast timeframe</t>
  </si>
  <si>
    <t>20 years</t>
  </si>
  <si>
    <t>10 or 20 year view</t>
  </si>
  <si>
    <t>Base year</t>
  </si>
  <si>
    <t>End year</t>
  </si>
  <si>
    <t>1st year of deliveries</t>
  </si>
  <si>
    <t>United States</t>
  </si>
  <si>
    <t>Canada</t>
  </si>
  <si>
    <t>Middle East and Africa</t>
  </si>
  <si>
    <t>Within Russia and Central Asia</t>
  </si>
  <si>
    <t>Delivery share by size (%)</t>
  </si>
  <si>
    <t>China to and from Oceania (Australasia)</t>
  </si>
  <si>
    <t>North America to and from Oceania (Australasia)</t>
  </si>
  <si>
    <t>Northeast Asia to and from Oceania (Australasia)</t>
  </si>
  <si>
    <t>Within Oceania (Australasia)</t>
  </si>
  <si>
    <t>Oceania (Australasia) to and from Southeast Asia</t>
  </si>
  <si>
    <t>Regional Jets</t>
  </si>
  <si>
    <t>billion</t>
  </si>
  <si>
    <t>new airplanes</t>
  </si>
  <si>
    <t>airplane fleet</t>
  </si>
  <si>
    <t>Total</t>
  </si>
  <si>
    <t>Boeing 707</t>
  </si>
  <si>
    <t>Boeing 757</t>
  </si>
  <si>
    <t>Boeing 737-900ER</t>
  </si>
  <si>
    <t>Airbus A321</t>
  </si>
  <si>
    <t>Boeing DC-8</t>
  </si>
  <si>
    <t>Boeing 717-200</t>
  </si>
  <si>
    <t>Boeing 727</t>
  </si>
  <si>
    <t>Boeing 737-100</t>
  </si>
  <si>
    <t>Boeing 737-200</t>
  </si>
  <si>
    <t>Boeing 737-500</t>
  </si>
  <si>
    <t>Boeing 737-300</t>
  </si>
  <si>
    <t>Boeing 737-400</t>
  </si>
  <si>
    <t>Boeing 737-600</t>
  </si>
  <si>
    <t>Boeing 737-700</t>
  </si>
  <si>
    <t>Boeing 737-800</t>
  </si>
  <si>
    <t>Airbus A318</t>
  </si>
  <si>
    <t>Airbus A319</t>
  </si>
  <si>
    <t>Airbus A320</t>
  </si>
  <si>
    <t>Boeing DC-9</t>
  </si>
  <si>
    <t>Boeing MD-80</t>
  </si>
  <si>
    <t>Boeing MD-90</t>
  </si>
  <si>
    <t>Fokker 100</t>
  </si>
  <si>
    <t>BAe 146-300</t>
  </si>
  <si>
    <t>Avro RJ100</t>
  </si>
  <si>
    <t>Embraer 190</t>
  </si>
  <si>
    <t>Embraer 195</t>
  </si>
  <si>
    <t>Bombardier CRJ-1000</t>
  </si>
  <si>
    <t>Tupolev TU-154</t>
  </si>
  <si>
    <t>Bombardier CS100</t>
  </si>
  <si>
    <t>Bombardier CS300</t>
  </si>
  <si>
    <t>Dornier 328 Jet</t>
  </si>
  <si>
    <t>Fokker 70</t>
  </si>
  <si>
    <t>Fokker F28</t>
  </si>
  <si>
    <t>BAe 146-100</t>
  </si>
  <si>
    <t>BAe 146-200</t>
  </si>
  <si>
    <t>Avro RJ70</t>
  </si>
  <si>
    <t>Avro RJ85</t>
  </si>
  <si>
    <t>Bombardier CRJ-900</t>
  </si>
  <si>
    <t>Bombardier CRJ-700</t>
  </si>
  <si>
    <t>Bombardier CRJ-200</t>
  </si>
  <si>
    <t>Bombardier CRJ-100</t>
  </si>
  <si>
    <t>Embraer 170</t>
  </si>
  <si>
    <t>Embraer 175</t>
  </si>
  <si>
    <t>Embraer ERJ-135</t>
  </si>
  <si>
    <t>Embraer ERJ-140</t>
  </si>
  <si>
    <t>Embraer ERJ-145</t>
  </si>
  <si>
    <t>Sukhoi Superjet 100</t>
  </si>
  <si>
    <t>Antonov An-148</t>
  </si>
  <si>
    <t>Tupolev TU-134</t>
  </si>
  <si>
    <t>Yakovlev Yak-40</t>
  </si>
  <si>
    <t>Yakovlev Yak-42</t>
  </si>
  <si>
    <t>AVIC ARJ-700</t>
  </si>
  <si>
    <t>AVIC ARJ-900</t>
  </si>
  <si>
    <t>Boeing 747-8</t>
  </si>
  <si>
    <t>Boeing 747-400</t>
  </si>
  <si>
    <t>Boeing 747-300</t>
  </si>
  <si>
    <t>Boeing 747-200</t>
  </si>
  <si>
    <t>Boeing 747-100</t>
  </si>
  <si>
    <t>Airbus A380</t>
  </si>
  <si>
    <t>Boeing 777-300ER</t>
  </si>
  <si>
    <t>Boeing 777-300</t>
  </si>
  <si>
    <t>Boeing 777-200LR</t>
  </si>
  <si>
    <t>Boeing 777-200</t>
  </si>
  <si>
    <t>Boeing 777-200ER</t>
  </si>
  <si>
    <t>Airbus A340-600</t>
  </si>
  <si>
    <t>Airbus A340-500</t>
  </si>
  <si>
    <t>Airbus A340-300</t>
  </si>
  <si>
    <t>Airbus A350-1000</t>
  </si>
  <si>
    <t>Airbus A350-900</t>
  </si>
  <si>
    <t>Boeing MD-11</t>
  </si>
  <si>
    <t>Ilyushin Il-96</t>
  </si>
  <si>
    <t>Ilyushin Il-62</t>
  </si>
  <si>
    <t>Boeing 787-9</t>
  </si>
  <si>
    <t>Boeing 787-8</t>
  </si>
  <si>
    <t>Boeing 767-300ER</t>
  </si>
  <si>
    <t>Boeing 767-300</t>
  </si>
  <si>
    <t>Boeing 767-200ER</t>
  </si>
  <si>
    <t>Boeing 767-200</t>
  </si>
  <si>
    <t>Airbus A330-200</t>
  </si>
  <si>
    <t>Airbus A330-300</t>
  </si>
  <si>
    <t>Ilyushin Il-86</t>
  </si>
  <si>
    <t>Airbus A350-800</t>
  </si>
  <si>
    <t>Boeing DC-10</t>
  </si>
  <si>
    <t>Lockheed L-1011</t>
  </si>
  <si>
    <t>Select the market sector</t>
  </si>
  <si>
    <t>Select forecast timeframe</t>
  </si>
  <si>
    <t>Share of total market value (%)</t>
  </si>
  <si>
    <t>Share of new deliveries (%)</t>
  </si>
  <si>
    <t>Base year total</t>
  </si>
  <si>
    <t>End year total</t>
  </si>
  <si>
    <t>New deliveries total</t>
  </si>
  <si>
    <t>Market value total</t>
  </si>
  <si>
    <t>Source data</t>
  </si>
  <si>
    <t>Base year Small twin aisle</t>
  </si>
  <si>
    <t>Base year Medium twin aisle</t>
  </si>
  <si>
    <t>End year Small twin aisle</t>
  </si>
  <si>
    <t>End year Medium twin aisle</t>
  </si>
  <si>
    <t>New deliveries Small twin aisle</t>
  </si>
  <si>
    <t>New deliveries Medium twin aisle</t>
  </si>
  <si>
    <t>Base year 90 to 175 seats single aisle</t>
  </si>
  <si>
    <t>End year 90 to 175 seats single aisle</t>
  </si>
  <si>
    <t>New deliveries 90 to 175 seats single aisle</t>
  </si>
  <si>
    <t>Market value Regional jets</t>
  </si>
  <si>
    <t xml:space="preserve">Market value 90 to 125 seats Single aisle </t>
  </si>
  <si>
    <t xml:space="preserve">Market value 125 to 175 seats Single aisle </t>
  </si>
  <si>
    <t>Market value More than 175 seats Single aisle</t>
  </si>
  <si>
    <t>Market value Small twin aisle</t>
  </si>
  <si>
    <t>Market value Medium twin aisle</t>
  </si>
  <si>
    <t>Market value 90 to 175 seats single aisle</t>
  </si>
  <si>
    <t>New deliveries more than 175 seats Single aisle</t>
  </si>
  <si>
    <t xml:space="preserve">New deliveries 125 to 175 seats Single aisle </t>
  </si>
  <si>
    <t>New deliveries 90 to 125 seats Single aisle</t>
  </si>
  <si>
    <t>End year more than 175 seats Single aisle</t>
  </si>
  <si>
    <t>End year 125 to 175 seats Single aisle</t>
  </si>
  <si>
    <t>End year 90 to 125 seats Single aisle</t>
  </si>
  <si>
    <t>Base year 90 to 125 seats Single aisle</t>
  </si>
  <si>
    <t>Base year 125 to 175 seats Single aisle</t>
  </si>
  <si>
    <t>Base year more than 175 seats Single aisle</t>
  </si>
  <si>
    <t>Market value single aisle</t>
  </si>
  <si>
    <t>Europe 2009 20 years</t>
  </si>
  <si>
    <t>Middle East 2009 20 years</t>
  </si>
  <si>
    <t>Africa 2009 20 years</t>
  </si>
  <si>
    <t>North America 2009 20 years</t>
  </si>
  <si>
    <t>Latin America 2009 20 years</t>
  </si>
  <si>
    <t>World 2009 20 years</t>
  </si>
  <si>
    <t>Market value share (%)</t>
  </si>
  <si>
    <t>Yes</t>
  </si>
  <si>
    <t>Market value twin aisle</t>
  </si>
  <si>
    <t>Base year large</t>
  </si>
  <si>
    <t>New deliveries large</t>
  </si>
  <si>
    <t>Unit deliveries market share large</t>
  </si>
  <si>
    <t>End year large</t>
  </si>
  <si>
    <t>Market value Large</t>
  </si>
  <si>
    <t>Large</t>
  </si>
  <si>
    <t>A1020YEARVIEW</t>
  </si>
  <si>
    <t>BASEYEARTOENDYEAR</t>
  </si>
  <si>
    <t>ENDYEAR</t>
  </si>
  <si>
    <t>BASEYEAR</t>
  </si>
  <si>
    <t>SubregionA</t>
  </si>
  <si>
    <t>SubregionB</t>
  </si>
  <si>
    <t>RegionA</t>
  </si>
  <si>
    <t>RegionB</t>
  </si>
  <si>
    <t>Ref</t>
  </si>
  <si>
    <t>Passenger Large</t>
  </si>
  <si>
    <t>Passenger Medium twin aisle</t>
  </si>
  <si>
    <t>Passenger Small twin aisle</t>
  </si>
  <si>
    <t>Passenger More than 175 seats single aisle</t>
  </si>
  <si>
    <t>Passenger 90 to 175 seats single aisle</t>
  </si>
  <si>
    <t>Passenger Regional jets</t>
  </si>
  <si>
    <t>Passenger Twin aisle</t>
  </si>
  <si>
    <t>Passenger Single aisle</t>
  </si>
  <si>
    <t>RPK Growth / GDP Growth</t>
  </si>
  <si>
    <r>
      <t>ï</t>
    </r>
    <r>
      <rPr>
        <sz val="10"/>
        <rFont val="Arial"/>
        <family val="0"/>
      </rPr>
      <t xml:space="preserve"> Select region</t>
    </r>
  </si>
  <si>
    <r>
      <t>ï</t>
    </r>
    <r>
      <rPr>
        <sz val="10"/>
        <rFont val="Arial"/>
        <family val="0"/>
      </rPr>
      <t xml:space="preserve"> CLICK TO REFRESH TRAFFIC DATA</t>
    </r>
  </si>
  <si>
    <t>Market value:</t>
  </si>
  <si>
    <t>Airplanes</t>
  </si>
  <si>
    <t>endyear</t>
  </si>
  <si>
    <t>For charts</t>
  </si>
  <si>
    <r>
      <t xml:space="preserve">                                     Converted to freighter </t>
    </r>
    <r>
      <rPr>
        <sz val="10"/>
        <rFont val="Arial"/>
        <family val="2"/>
      </rPr>
      <t>(if blank, number is not available)</t>
    </r>
  </si>
  <si>
    <t>ForecastYear</t>
  </si>
  <si>
    <t>Sum of BASEYEAR</t>
  </si>
  <si>
    <t>Sum of ENDYEAR</t>
  </si>
  <si>
    <t>Baseyear</t>
  </si>
  <si>
    <t>Endyear</t>
  </si>
  <si>
    <t>Update by clicking purple button</t>
  </si>
  <si>
    <t>If you don't know which sector a particular aircraft type is in, use the selector field below pick the market sector for you. The forecast is for the sector not the individual aircraft types.</t>
  </si>
  <si>
    <t>I know the market sector</t>
  </si>
  <si>
    <t>Overall fleet summary:</t>
  </si>
  <si>
    <t>Passenger and freight airplanes</t>
  </si>
  <si>
    <t>Key Indicators</t>
  </si>
  <si>
    <t>Demand by region</t>
  </si>
  <si>
    <t>Future market value and airplane deliveries</t>
  </si>
  <si>
    <t>Market growth rates</t>
  </si>
  <si>
    <t>$B</t>
  </si>
  <si>
    <t>World economy (GDP)</t>
  </si>
  <si>
    <t>Airplane fleet</t>
  </si>
  <si>
    <t>Number of passengers</t>
  </si>
  <si>
    <t>Airline traffic (RPKs)</t>
  </si>
  <si>
    <t>Cargo traffic (RTKs)</t>
  </si>
  <si>
    <t>Demand by airplane size</t>
  </si>
  <si>
    <t>Airplanes in service</t>
  </si>
  <si>
    <t>Size</t>
  </si>
  <si>
    <t>$ B</t>
  </si>
  <si>
    <t>Twin-aisle</t>
  </si>
  <si>
    <t>Single-aisle</t>
  </si>
  <si>
    <t>Deliveries by airplane size and region</t>
  </si>
  <si>
    <t>Total Deliveries</t>
  </si>
  <si>
    <t>Market value by size and region (Catalog prices)</t>
  </si>
  <si>
    <t>Total Market Value</t>
  </si>
  <si>
    <t>Market by airplane size</t>
  </si>
  <si>
    <t>Market share</t>
  </si>
  <si>
    <t>Deliveries</t>
  </si>
  <si>
    <t>$ Value</t>
  </si>
  <si>
    <t>New airplanes</t>
  </si>
  <si>
    <t>Medium</t>
  </si>
  <si>
    <t>Small</t>
  </si>
  <si>
    <t>Total twin aisle</t>
  </si>
  <si>
    <t>More than 175 Seats</t>
  </si>
  <si>
    <t>90 to 175 Seats</t>
  </si>
  <si>
    <t>Total single aisle</t>
  </si>
  <si>
    <t>Total regional Jets</t>
  </si>
  <si>
    <t>Total fleet</t>
  </si>
  <si>
    <t>Fleet development</t>
  </si>
  <si>
    <t>Passenger fleet development</t>
  </si>
  <si>
    <t>Removed from service</t>
  </si>
  <si>
    <t>Large*</t>
  </si>
  <si>
    <t>Total Twin aisle</t>
  </si>
  <si>
    <t>More than 175 seats</t>
  </si>
  <si>
    <t>90 to 175 seats</t>
  </si>
  <si>
    <t>Total Single aisle</t>
  </si>
  <si>
    <t>Total regional jets</t>
  </si>
  <si>
    <t>Total passenger</t>
  </si>
  <si>
    <t>Freighter fleet development</t>
  </si>
  <si>
    <t>Standard body</t>
  </si>
  <si>
    <t>Total freighter</t>
  </si>
  <si>
    <t>Fleet by airplane size</t>
  </si>
  <si>
    <t>End of Year</t>
  </si>
  <si>
    <t>Size Category</t>
  </si>
  <si>
    <t>Airplanes in Service</t>
  </si>
  <si>
    <t>Fleet Share</t>
  </si>
  <si>
    <t>Total Fleet</t>
  </si>
  <si>
    <t>Average annual growth</t>
  </si>
  <si>
    <t>Africa--Africa</t>
  </si>
  <si>
    <t>Africa--Europe</t>
  </si>
  <si>
    <t>Africa--Middle East</t>
  </si>
  <si>
    <t>Africa--North America</t>
  </si>
  <si>
    <t>Africa--Southeast Asia</t>
  </si>
  <si>
    <t>Central America--Central America</t>
  </si>
  <si>
    <t>Central America--Europe</t>
  </si>
  <si>
    <t>Central America--North America</t>
  </si>
  <si>
    <t>Central America--South America</t>
  </si>
  <si>
    <t>China--China</t>
  </si>
  <si>
    <t>China--Europe</t>
  </si>
  <si>
    <t>China--North America</t>
  </si>
  <si>
    <t>China--Northeast Asia</t>
  </si>
  <si>
    <t>China--Oceania</t>
  </si>
  <si>
    <t>China--Southeast Asia</t>
  </si>
  <si>
    <t>Europe--Europe</t>
  </si>
  <si>
    <t>Europe--Middle East</t>
  </si>
  <si>
    <t>Europe--North America</t>
  </si>
  <si>
    <t>Europe--Northeast Asia</t>
  </si>
  <si>
    <t>Europe--South America</t>
  </si>
  <si>
    <t>Europe--Southeast Asia</t>
  </si>
  <si>
    <t>Middle East--Middle East</t>
  </si>
  <si>
    <t>Middle East--North America</t>
  </si>
  <si>
    <t>Middle East--Southeast Asia</t>
  </si>
  <si>
    <t>North America--North America</t>
  </si>
  <si>
    <t>North America--Northeast Asia</t>
  </si>
  <si>
    <t>North America--Oceania</t>
  </si>
  <si>
    <t>North America--South America</t>
  </si>
  <si>
    <t>North America--Southeast Asia</t>
  </si>
  <si>
    <t>Northeast Asia--Northeast Asia</t>
  </si>
  <si>
    <t>Northeast Asia--Oceania</t>
  </si>
  <si>
    <t>Northeast Asia--Southeast Asia</t>
  </si>
  <si>
    <t>Oceania--Oceania</t>
  </si>
  <si>
    <t>Oceania--Southeast Asia</t>
  </si>
  <si>
    <t>South America--South America</t>
  </si>
  <si>
    <t>Southeast Asia--Southeast Asia</t>
  </si>
  <si>
    <t>Bold=within regions</t>
  </si>
  <si>
    <t>Asia Pacific</t>
  </si>
  <si>
    <t>-</t>
  </si>
  <si>
    <t>Sum data down the table only. Bold = share within the region</t>
  </si>
  <si>
    <t>All traffic to/from region</t>
  </si>
  <si>
    <t>How to read the tables:</t>
  </si>
  <si>
    <t>Read down the selected column, for example:</t>
  </si>
  <si>
    <r>
      <t>ï</t>
    </r>
    <r>
      <rPr>
        <sz val="10"/>
        <rFont val="Arial"/>
        <family val="2"/>
      </rPr>
      <t xml:space="preserve"> Set this back to "I know the market sector" when finished</t>
    </r>
  </si>
  <si>
    <t>ï</t>
  </si>
  <si>
    <t>Select forecast year and timeframe above. Then select passenger or freight sector below</t>
  </si>
  <si>
    <t>Delivery share by value (%)</t>
  </si>
  <si>
    <t>Total market value ($B)</t>
  </si>
  <si>
    <t>As presented in pdf file for download</t>
  </si>
  <si>
    <t>As presented on website</t>
  </si>
  <si>
    <t>Total airplanes in service</t>
  </si>
  <si>
    <t>Passenger airplanes in service</t>
  </si>
  <si>
    <t>Freighter airplanes in service</t>
  </si>
  <si>
    <t>Airplane demand</t>
  </si>
  <si>
    <t>Passenger airplane demand</t>
  </si>
  <si>
    <t>Freighter airplane demand</t>
  </si>
  <si>
    <t>* Large Passenger and Large Freighter categories are different.</t>
  </si>
  <si>
    <t>Where combined data is shown, size definitions are those used for passenger types.</t>
  </si>
  <si>
    <t>Large freighter*</t>
  </si>
  <si>
    <t>SINGLE-AISLE PASSENGER AIRPLANES</t>
  </si>
  <si>
    <t>Boeing 707, 757</t>
  </si>
  <si>
    <t>Boeing 717, 727</t>
  </si>
  <si>
    <t>Boeing 737-100 through -500</t>
  </si>
  <si>
    <t>Boeing 737-600, -700, -800</t>
  </si>
  <si>
    <t>Avro RJ70, RJ85</t>
  </si>
  <si>
    <t>Tupolev TU-204, TU-214</t>
  </si>
  <si>
    <t>Airbus A318, A319, A320</t>
  </si>
  <si>
    <t>BAe 146-100, -200</t>
  </si>
  <si>
    <t>Boeing/MDC DC-9, MD-80, -90</t>
  </si>
  <si>
    <t>Bombardier CRJ</t>
  </si>
  <si>
    <t>Dornier 328JET</t>
  </si>
  <si>
    <t>BAe 146-300, Avro RJ100</t>
  </si>
  <si>
    <t>Embraer 170, 175</t>
  </si>
  <si>
    <t>Embraer ERJ-135/140/145</t>
  </si>
  <si>
    <t>Bombardier CS100, CS300</t>
  </si>
  <si>
    <t>Fokker 70, F28</t>
  </si>
  <si>
    <t>Embraer 190, 195</t>
  </si>
  <si>
    <t>Mitsubishi MRJ</t>
  </si>
  <si>
    <t>Illyushin IL-62</t>
  </si>
  <si>
    <t>TWIN-AISLE PASSENGER AIRPLANES</t>
  </si>
  <si>
    <t>Boeing 777</t>
  </si>
  <si>
    <t>Boeing 767, 787</t>
  </si>
  <si>
    <t>Boeing/MDC MD-11</t>
  </si>
  <si>
    <t>Boeing/MDC DC-10</t>
  </si>
  <si>
    <t>Airbus A330-300, A340</t>
  </si>
  <si>
    <r>
      <t xml:space="preserve">Airbus A300, A310, </t>
    </r>
    <r>
      <rPr>
        <b/>
        <sz val="10"/>
        <rFont val="Arial"/>
        <family val="2"/>
      </rPr>
      <t>A330-200</t>
    </r>
  </si>
  <si>
    <t>Airbus A350-900, -1000</t>
  </si>
  <si>
    <t>Illyushin IL-86</t>
  </si>
  <si>
    <t>Illyushin IL-96</t>
  </si>
  <si>
    <r>
      <t>Bold:</t>
    </r>
    <r>
      <rPr>
        <sz val="8"/>
        <rFont val="Arial"/>
        <family val="0"/>
      </rPr>
      <t xml:space="preserve">  Airplanes in production or launched.</t>
    </r>
  </si>
  <si>
    <t>FREIGHT AIRPLANES</t>
  </si>
  <si>
    <t>BAe 146</t>
  </si>
  <si>
    <t>Airbus A318, A319, A320, A321</t>
  </si>
  <si>
    <t>Boeing 757-200</t>
  </si>
  <si>
    <t>Tupolev Tu-204</t>
  </si>
  <si>
    <t>Boeing 737</t>
  </si>
  <si>
    <t>Boeing 767</t>
  </si>
  <si>
    <t>Boeing 787</t>
  </si>
  <si>
    <t>Airbus A330</t>
  </si>
  <si>
    <t>Lockheed L-1011SF</t>
  </si>
  <si>
    <t>Boeing /MDC DC-10</t>
  </si>
  <si>
    <t>Boeing 777-A SF</t>
  </si>
  <si>
    <t>Boeing/ MDC MD-11</t>
  </si>
  <si>
    <t>Boeing 747</t>
  </si>
  <si>
    <t>Airbus A340-600 SF</t>
  </si>
  <si>
    <t>Airbus A350</t>
  </si>
  <si>
    <t>Illyushin IL-96T</t>
  </si>
  <si>
    <t>Illyushin IL-76TD</t>
  </si>
  <si>
    <t>Antonov An-124</t>
  </si>
  <si>
    <t>Production and conversion (SF) models assumed for each type unless otherwise specified</t>
  </si>
  <si>
    <r>
      <t xml:space="preserve">Large
</t>
    </r>
    <r>
      <rPr>
        <sz val="8"/>
        <rFont val="Arial"/>
        <family val="2"/>
      </rPr>
      <t>Three class: more than 400 seats</t>
    </r>
  </si>
  <si>
    <r>
      <t xml:space="preserve">Medium
</t>
    </r>
    <r>
      <rPr>
        <sz val="8"/>
        <rFont val="Arial"/>
        <family val="2"/>
      </rPr>
      <t>Two class: 340 to 450 seats
Three class: 260 to 370 seats</t>
    </r>
  </si>
  <si>
    <r>
      <t xml:space="preserve">Small
</t>
    </r>
    <r>
      <rPr>
        <sz val="8"/>
        <rFont val="Arial"/>
        <family val="2"/>
      </rPr>
      <t>Two class: 230 to 340 seats
Three class: 180 to 260 seats</t>
    </r>
  </si>
  <si>
    <r>
      <t xml:space="preserve">Large freighter
</t>
    </r>
    <r>
      <rPr>
        <sz val="8"/>
        <rFont val="Arial"/>
        <family val="2"/>
      </rPr>
      <t>More than 80 tonnes</t>
    </r>
  </si>
  <si>
    <r>
      <t xml:space="preserve">Medium widebody
</t>
    </r>
    <r>
      <rPr>
        <sz val="8"/>
        <rFont val="Arial"/>
        <family val="2"/>
      </rPr>
      <t>40 to 80 tonnes</t>
    </r>
  </si>
  <si>
    <r>
      <t xml:space="preserve">Standard-body
</t>
    </r>
    <r>
      <rPr>
        <sz val="8"/>
        <rFont val="Arial"/>
        <family val="2"/>
      </rPr>
      <t>Less than 45 tonnes</t>
    </r>
  </si>
  <si>
    <t>AIRPLANE MARKET SECTOR DEFINITIONS</t>
  </si>
  <si>
    <t>Passenger and freight market sector definitions</t>
  </si>
  <si>
    <t>Airplane demand summary</t>
  </si>
  <si>
    <t>Region summary</t>
  </si>
  <si>
    <t>How the fleet build-up is calculated;</t>
  </si>
  <si>
    <t>Asia Pacific 2009 20 years</t>
  </si>
  <si>
    <t>Validation for region selection</t>
  </si>
  <si>
    <t>From "Compare Regions sheet:</t>
  </si>
  <si>
    <t>From "Region summary sheet:</t>
  </si>
  <si>
    <t>For Traffic table:</t>
  </si>
  <si>
    <t>For Fleet Development</t>
  </si>
  <si>
    <t>From Detail by size segment</t>
  </si>
  <si>
    <t>Lookup</t>
  </si>
  <si>
    <t>Market sector</t>
  </si>
  <si>
    <t>Overall fleet summary sectors</t>
  </si>
  <si>
    <t>Passenger Total</t>
  </si>
  <si>
    <t>Freighter Total</t>
  </si>
  <si>
    <t>Freight Large</t>
  </si>
  <si>
    <t>Freight Medium Widebody</t>
  </si>
  <si>
    <t>Freight Standard</t>
  </si>
  <si>
    <t>Note: Hidden rows below</t>
  </si>
  <si>
    <r>
      <t>ï</t>
    </r>
    <r>
      <rPr>
        <sz val="8"/>
        <rFont val="Arial"/>
        <family val="0"/>
      </rPr>
      <t xml:space="preserve"> Select forecast timeframe</t>
    </r>
  </si>
  <si>
    <r>
      <t>ï</t>
    </r>
    <r>
      <rPr>
        <sz val="8"/>
        <rFont val="Arial"/>
        <family val="0"/>
      </rPr>
      <t xml:space="preserve"> Select year of forecast</t>
    </r>
  </si>
  <si>
    <t>Passenger Twin aisle Total</t>
  </si>
  <si>
    <t>Passenger Single aisle Total</t>
  </si>
  <si>
    <t>Within The Asia Pacific Region</t>
  </si>
  <si>
    <t>Within The Latin America Region</t>
  </si>
  <si>
    <t>China 2009 20 years</t>
  </si>
  <si>
    <t>Southeast Asia 2009 20 years</t>
  </si>
  <si>
    <t>Northeast Asia 2009 20 years</t>
  </si>
  <si>
    <t>Oceania (Australasia) 2009 20 years</t>
  </si>
  <si>
    <t>Average airplane value ($M)</t>
  </si>
  <si>
    <t>Market shares:</t>
  </si>
  <si>
    <t xml:space="preserve">Forecast new airplane deliveries </t>
  </si>
  <si>
    <t>China 2008 20 years</t>
  </si>
  <si>
    <t>Southeast Asia 2008 20 years</t>
  </si>
  <si>
    <t>Northeast Asia 2008 20 years</t>
  </si>
  <si>
    <t>Oceania (Australasia) 2008 20 years</t>
  </si>
  <si>
    <t>United States 2008 20 years</t>
  </si>
  <si>
    <t>Canada 2008 20 years</t>
  </si>
  <si>
    <t>Europe 2008 20 years</t>
  </si>
  <si>
    <t>South America 2008 20 years</t>
  </si>
  <si>
    <t>Central America 2008 20 years</t>
  </si>
  <si>
    <t>Middle East 2008 20 years</t>
  </si>
  <si>
    <t>Africa 2008 20 years</t>
  </si>
  <si>
    <t>North America 2008 20 years</t>
  </si>
  <si>
    <t>Latin America 2008 20 years</t>
  </si>
  <si>
    <t>World 2008 20 years</t>
  </si>
  <si>
    <t>China 2008 10 years</t>
  </si>
  <si>
    <t>10 years</t>
  </si>
  <si>
    <t>Southeast Asia 2008 10 years</t>
  </si>
  <si>
    <t>Northeast Asia 2008 10 years</t>
  </si>
  <si>
    <t>Oceania (Australasia) 2008 10 years</t>
  </si>
  <si>
    <t>United States 2008 10 years</t>
  </si>
  <si>
    <t>Canada 2008 10 years</t>
  </si>
  <si>
    <t>Europe 2008 10 years</t>
  </si>
  <si>
    <t>South America 2008 10 years</t>
  </si>
  <si>
    <t>Central America 2008 10 years</t>
  </si>
  <si>
    <t>Middle East 2008 10 years</t>
  </si>
  <si>
    <t>Africa 2008 10 years</t>
  </si>
  <si>
    <t>North America 2008 10 years</t>
  </si>
  <si>
    <t>Latin America 2008 10 years</t>
  </si>
  <si>
    <t>World 2008 10 years</t>
  </si>
  <si>
    <t>United States 2009 20 years</t>
  </si>
  <si>
    <t>Canada 2009 20 years</t>
  </si>
  <si>
    <t>South America 2009 20 years</t>
  </si>
  <si>
    <t>Central America 2009 20 years</t>
  </si>
  <si>
    <t>China 2009 10 years</t>
  </si>
  <si>
    <t>Southeast Asia 2009 10 years</t>
  </si>
  <si>
    <t>Northeast Asia 2009 10 years</t>
  </si>
  <si>
    <t>Oceania (Australasia) 2009 10 years</t>
  </si>
  <si>
    <t>United States 2009 10 years</t>
  </si>
  <si>
    <t>Canada 2009 10 years</t>
  </si>
  <si>
    <t>Europe 2009 10 years</t>
  </si>
  <si>
    <t>South America 2009 10 years</t>
  </si>
  <si>
    <t>Central America 2009 10 years</t>
  </si>
  <si>
    <t>Middle East 2009 10 years</t>
  </si>
  <si>
    <t>Africa 2009 10 years</t>
  </si>
  <si>
    <t>North America 2009 10 years</t>
  </si>
  <si>
    <t>Latin America 2009 10 years</t>
  </si>
  <si>
    <t>World 2009 10 years</t>
  </si>
  <si>
    <r>
      <t>ï</t>
    </r>
    <r>
      <rPr>
        <sz val="10"/>
        <rFont val="Arial"/>
        <family val="0"/>
      </rPr>
      <t xml:space="preserve"> Select forecast timeframe</t>
    </r>
  </si>
  <si>
    <r>
      <t>ï</t>
    </r>
    <r>
      <rPr>
        <sz val="10"/>
        <rFont val="Arial"/>
        <family val="0"/>
      </rPr>
      <t xml:space="preserve"> Select year of forecast</t>
    </r>
  </si>
  <si>
    <t>Asia Pacific 2008 20 years</t>
  </si>
  <si>
    <t>Asia Pacific 2008 10 years</t>
  </si>
  <si>
    <t>Asia Pacific 2009 10 years</t>
  </si>
  <si>
    <t>South Asia 2008 20 years</t>
  </si>
  <si>
    <t>South Asia</t>
  </si>
  <si>
    <t>South Asia 2008 10 years</t>
  </si>
  <si>
    <t>South Asia 2009 20 years</t>
  </si>
  <si>
    <t>South Asia 2009 10 years</t>
  </si>
  <si>
    <t>Europe to and from South Asia</t>
  </si>
  <si>
    <t>Middle East to and from South Asia</t>
  </si>
  <si>
    <t>Southeast Asia to and from South Asia</t>
  </si>
  <si>
    <t>Within South Asia</t>
  </si>
  <si>
    <t>Europe--South Asia</t>
  </si>
  <si>
    <t>Middle East--South Asia</t>
  </si>
  <si>
    <t>Southeast Asia--South Asia</t>
  </si>
  <si>
    <t>South Asia--South Asia</t>
  </si>
  <si>
    <t>CIS Region--CIS Region</t>
  </si>
  <si>
    <t>CIS Region--International</t>
  </si>
  <si>
    <t>Rest of World</t>
  </si>
  <si>
    <t>China to and from Oceania</t>
  </si>
  <si>
    <t>Within C.I.S.</t>
  </si>
  <si>
    <t>C.I.S. to and from International</t>
  </si>
  <si>
    <t>Sum of 2008</t>
  </si>
  <si>
    <t>Includes other small flows which are not included in the summary table (&lt;1% of each region)</t>
  </si>
  <si>
    <t>&lt;1</t>
  </si>
  <si>
    <t>Within Latin America</t>
  </si>
  <si>
    <t>Within Asia Pacific</t>
  </si>
  <si>
    <t>Boeing/MDC DC-8/9</t>
  </si>
  <si>
    <t>Boeing/MDC MD-80</t>
  </si>
  <si>
    <t>Passenger Medium Twin Aisle</t>
  </si>
  <si>
    <t>Passenger Regional Jets</t>
  </si>
  <si>
    <t>Passenger 90 to 175 Seats single aisle</t>
  </si>
  <si>
    <t>Passenger Twin Aisle</t>
  </si>
  <si>
    <t>Passenger Twin Aisle Total</t>
  </si>
  <si>
    <t>Passenger Single Aisle Total</t>
  </si>
  <si>
    <t>Oceania (Australasia) 2011 20 years</t>
  </si>
  <si>
    <t>Comac C919</t>
  </si>
  <si>
    <t>Passenger Small Twin Aisle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</si>
</sst>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0.0000000"/>
    <numFmt numFmtId="180" formatCode="_(* #,##0.0_);_(* \(#,##0.0\);_(* &quot;-&quot;??_);_(@_)"/>
    <numFmt numFmtId="181" formatCode="_(* #,##0_);_(* \(#,##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%"/>
    <numFmt numFmtId="187" formatCode="0.0000%"/>
    <numFmt numFmtId="188" formatCode="0.00000%"/>
    <numFmt numFmtId="189" formatCode="0.0%"/>
    <numFmt numFmtId="190" formatCode="_(* #,##0.000_);_(* \(#,##0.000\);_(* &quot;-&quot;??_);_(@_)"/>
    <numFmt numFmtId="191" formatCode="0.000000000"/>
    <numFmt numFmtId="192" formatCode="_(* #,##0.0000_);_(* \(#,##0.0000\);_(* &quot;-&quot;??_);_(@_)"/>
    <numFmt numFmtId="193" formatCode="0.00000000000000%"/>
    <numFmt numFmtId="194" formatCode="&quot;$&quot;#,##0"/>
    <numFmt numFmtId="195" formatCode="m/d"/>
    <numFmt numFmtId="196" formatCode="0.00000000000000"/>
    <numFmt numFmtId="197" formatCode="0.0000000000000"/>
    <numFmt numFmtId="198" formatCode="0.000000000000"/>
    <numFmt numFmtId="199" formatCode="0.00000000000"/>
    <numFmt numFmtId="200" formatCode="0.0000000000"/>
    <numFmt numFmtId="201" formatCode="#,##0.000"/>
    <numFmt numFmtId="202" formatCode="General_)"/>
    <numFmt numFmtId="203" formatCode="0.000_)"/>
    <numFmt numFmtId="204" formatCode="00"/>
    <numFmt numFmtId="205" formatCode="0.0000_)"/>
    <numFmt numFmtId="206" formatCode="0.00_)"/>
    <numFmt numFmtId="207" formatCode="#,##0.0000"/>
    <numFmt numFmtId="208" formatCode="#,##0.00000"/>
    <numFmt numFmtId="209" formatCode="0.000000000000000"/>
    <numFmt numFmtId="210" formatCode="0.0000000000000000"/>
    <numFmt numFmtId="211" formatCode="_(* #,##0.000_);_(* \(#,##0.000\);_(* &quot;-&quot;???_);_(@_)"/>
    <numFmt numFmtId="212" formatCode="#,##0.0_);\(#,##0.0\)"/>
    <numFmt numFmtId="213" formatCode="_([$€-2]* #,##0.00_);_([$€-2]* \(#,##0.00\);_([$€-2]* &quot;-&quot;??_)"/>
  </numFmts>
  <fonts count="6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Helvetica"/>
      <family val="0"/>
    </font>
    <font>
      <sz val="10"/>
      <name val="MS Sans Serif"/>
      <family val="0"/>
    </font>
    <font>
      <sz val="8"/>
      <name val="Helvetica"/>
      <family val="2"/>
    </font>
    <font>
      <b/>
      <sz val="8"/>
      <name val="Helvetica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2.75"/>
      <name val="Arial"/>
      <family val="0"/>
    </font>
    <font>
      <sz val="3"/>
      <name val="Arial"/>
      <family val="0"/>
    </font>
    <font>
      <sz val="3.75"/>
      <name val="Arial"/>
      <family val="0"/>
    </font>
    <font>
      <sz val="3.5"/>
      <name val="Arial"/>
      <family val="0"/>
    </font>
    <font>
      <b/>
      <sz val="18"/>
      <name val="Arial"/>
      <family val="2"/>
    </font>
    <font>
      <b/>
      <i/>
      <u val="single"/>
      <sz val="10"/>
      <name val="Arial"/>
      <family val="2"/>
    </font>
    <font>
      <sz val="10"/>
      <name val="Wingdings"/>
      <family val="0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Wingdings"/>
      <family val="0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1.5"/>
      <name val="Arial"/>
      <family val="2"/>
    </font>
    <font>
      <b/>
      <sz val="11.75"/>
      <name val="Arial"/>
      <family val="2"/>
    </font>
    <font>
      <b/>
      <sz val="11.25"/>
      <name val="Arial"/>
      <family val="2"/>
    </font>
    <font>
      <b/>
      <sz val="12"/>
      <color indexed="62"/>
      <name val="Helvetica"/>
      <family val="2"/>
    </font>
    <font>
      <b/>
      <u val="single"/>
      <sz val="12"/>
      <color indexed="62"/>
      <name val="Helvetica"/>
      <family val="2"/>
    </font>
    <font>
      <b/>
      <u val="single"/>
      <sz val="10"/>
      <color indexed="10"/>
      <name val="Arial"/>
      <family val="2"/>
    </font>
    <font>
      <b/>
      <sz val="9"/>
      <name val="Arial"/>
      <family val="2"/>
    </font>
    <font>
      <sz val="10"/>
      <name val="Helvetica"/>
      <family val="2"/>
    </font>
    <font>
      <b/>
      <u val="single"/>
      <sz val="8"/>
      <name val="Helvetica"/>
      <family val="0"/>
    </font>
    <font>
      <sz val="8"/>
      <color indexed="10"/>
      <name val="Helvetica"/>
      <family val="2"/>
    </font>
    <font>
      <vertAlign val="superscript"/>
      <sz val="10"/>
      <name val="Arial"/>
      <family val="0"/>
    </font>
    <font>
      <b/>
      <sz val="10"/>
      <name val="Helvetica"/>
      <family val="2"/>
    </font>
    <font>
      <b/>
      <sz val="12"/>
      <color indexed="18"/>
      <name val="Arial"/>
      <family val="2"/>
    </font>
    <font>
      <b/>
      <u val="single"/>
      <sz val="10"/>
      <color indexed="62"/>
      <name val="Helvetica"/>
      <family val="2"/>
    </font>
    <font>
      <sz val="8"/>
      <name val="Wingdings"/>
      <family val="0"/>
    </font>
    <font>
      <b/>
      <sz val="8"/>
      <color indexed="62"/>
      <name val="Arial"/>
      <family val="2"/>
    </font>
    <font>
      <b/>
      <sz val="10.75"/>
      <name val="Arial"/>
      <family val="2"/>
    </font>
    <font>
      <sz val="8"/>
      <color indexed="47"/>
      <name val="Arial"/>
      <family val="0"/>
    </font>
    <font>
      <sz val="10"/>
      <color indexed="55"/>
      <name val="Arial"/>
      <family val="0"/>
    </font>
    <font>
      <b/>
      <sz val="10"/>
      <color indexed="42"/>
      <name val="Arial"/>
      <family val="0"/>
    </font>
    <font>
      <b/>
      <sz val="10"/>
      <color indexed="63"/>
      <name val="Arial"/>
      <family val="0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9"/>
      </patternFill>
    </fill>
    <fill>
      <patternFill patternType="solid">
        <fgColor indexed="22"/>
        <bgColor indexed="64"/>
      </patternFill>
    </fill>
    <fill>
      <patternFill patternType="gray0625">
        <bgColor indexed="41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1">
      <alignment/>
      <protection/>
    </xf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189" fontId="0" fillId="5" borderId="2" applyFont="0" applyAlignment="0" applyProtection="0"/>
    <xf numFmtId="0" fontId="9" fillId="15" borderId="0">
      <alignment/>
      <protection/>
    </xf>
    <xf numFmtId="0" fontId="53" fillId="16" borderId="0" applyNumberFormat="0" applyBorder="0" applyAlignment="0" applyProtection="0"/>
    <xf numFmtId="0" fontId="1" fillId="17" borderId="3">
      <alignment horizontal="center" vertical="center"/>
      <protection/>
    </xf>
    <xf numFmtId="3" fontId="0" fillId="18" borderId="0">
      <alignment/>
      <protection/>
    </xf>
    <xf numFmtId="0" fontId="5" fillId="0" borderId="3" applyFont="0">
      <alignment/>
      <protection/>
    </xf>
    <xf numFmtId="0" fontId="45" fillId="4" borderId="0">
      <alignment/>
      <protection/>
    </xf>
    <xf numFmtId="0" fontId="54" fillId="19" borderId="4" applyNumberFormat="0" applyAlignment="0" applyProtection="0"/>
    <xf numFmtId="0" fontId="55" fillId="20" borderId="5" applyNumberFormat="0" applyAlignment="0" applyProtection="0"/>
    <xf numFmtId="3" fontId="9" fillId="21" borderId="6">
      <alignment/>
      <protection/>
    </xf>
    <xf numFmtId="3" fontId="9" fillId="22" borderId="6">
      <alignment/>
      <protection/>
    </xf>
    <xf numFmtId="3" fontId="9" fillId="16" borderId="6">
      <alignment/>
      <protection/>
    </xf>
    <xf numFmtId="3" fontId="9" fillId="18" borderId="6">
      <alignment/>
      <protection/>
    </xf>
    <xf numFmtId="2" fontId="0" fillId="0" borderId="7">
      <alignment/>
      <protection/>
    </xf>
    <xf numFmtId="0" fontId="1" fillId="19" borderId="8">
      <alignment horizontal="center" vertical="center" wrapText="1"/>
      <protection/>
    </xf>
    <xf numFmtId="3" fontId="9" fillId="5" borderId="6">
      <alignment/>
      <protection/>
    </xf>
    <xf numFmtId="0" fontId="5" fillId="23" borderId="2">
      <alignment/>
      <protection/>
    </xf>
    <xf numFmtId="21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3" fontId="0" fillId="15" borderId="0">
      <alignment/>
      <protection/>
    </xf>
    <xf numFmtId="0" fontId="0" fillId="24" borderId="7">
      <alignment/>
      <protection/>
    </xf>
    <xf numFmtId="0" fontId="0" fillId="25" borderId="0">
      <alignment/>
      <protection/>
    </xf>
    <xf numFmtId="0" fontId="21" fillId="18" borderId="9">
      <alignment horizontal="center" vertical="center"/>
      <protection/>
    </xf>
    <xf numFmtId="0" fontId="0" fillId="15" borderId="10">
      <alignment horizontal="center"/>
      <protection/>
    </xf>
    <xf numFmtId="10" fontId="9" fillId="15" borderId="6">
      <alignment horizontal="right"/>
      <protection/>
    </xf>
    <xf numFmtId="10" fontId="46" fillId="0" borderId="0">
      <alignment/>
      <protection/>
    </xf>
    <xf numFmtId="0" fontId="57" fillId="6" borderId="0" applyNumberFormat="0" applyBorder="0" applyAlignment="0" applyProtection="0"/>
    <xf numFmtId="0" fontId="0" fillId="26" borderId="0">
      <alignment/>
      <protection/>
    </xf>
    <xf numFmtId="0" fontId="1" fillId="24" borderId="10">
      <alignment horizontal="center" vertical="center"/>
      <protection/>
    </xf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46" fillId="27" borderId="0">
      <alignment/>
      <protection/>
    </xf>
    <xf numFmtId="10" fontId="46" fillId="0" borderId="14">
      <alignment horizontal="right"/>
      <protection/>
    </xf>
    <xf numFmtId="0" fontId="0" fillId="24" borderId="15">
      <alignment/>
      <protection/>
    </xf>
    <xf numFmtId="3" fontId="0" fillId="24" borderId="15">
      <alignment/>
      <protection/>
    </xf>
    <xf numFmtId="10" fontId="0" fillId="24" borderId="15">
      <alignment/>
      <protection/>
    </xf>
    <xf numFmtId="3" fontId="9" fillId="4" borderId="6">
      <alignment/>
      <protection/>
    </xf>
    <xf numFmtId="0" fontId="9" fillId="4" borderId="6">
      <alignment/>
      <protection/>
    </xf>
    <xf numFmtId="3" fontId="9" fillId="24" borderId="6">
      <alignment/>
      <protection/>
    </xf>
    <xf numFmtId="0" fontId="61" fillId="0" borderId="1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47" fillId="28" borderId="17">
      <alignment horizontal="center" vertical="center"/>
      <protection/>
    </xf>
    <xf numFmtId="0" fontId="9" fillId="4" borderId="6">
      <alignment/>
      <protection/>
    </xf>
    <xf numFmtId="0" fontId="4" fillId="0" borderId="0">
      <alignment/>
      <protection/>
    </xf>
    <xf numFmtId="3" fontId="9" fillId="0" borderId="2">
      <alignment/>
      <protection/>
    </xf>
    <xf numFmtId="0" fontId="0" fillId="0" borderId="18">
      <alignment/>
      <protection/>
    </xf>
    <xf numFmtId="0" fontId="5" fillId="18" borderId="1">
      <alignment/>
      <protection/>
    </xf>
    <xf numFmtId="0" fontId="0" fillId="18" borderId="19">
      <alignment/>
      <protection/>
    </xf>
    <xf numFmtId="0" fontId="0" fillId="4" borderId="1" applyNumberFormat="0" applyFont="0" applyAlignment="0" applyProtection="0"/>
    <xf numFmtId="0" fontId="63" fillId="19" borderId="20" applyNumberFormat="0" applyAlignment="0" applyProtection="0"/>
    <xf numFmtId="0" fontId="0" fillId="2" borderId="7">
      <alignment horizontal="left"/>
      <protection/>
    </xf>
    <xf numFmtId="0" fontId="0" fillId="0" borderId="2">
      <alignment/>
      <protection/>
    </xf>
    <xf numFmtId="9" fontId="0" fillId="0" borderId="0" applyFont="0" applyFill="0" applyBorder="0" applyAlignment="0" applyProtection="0"/>
    <xf numFmtId="0" fontId="5" fillId="24" borderId="10">
      <alignment/>
      <protection/>
    </xf>
    <xf numFmtId="0" fontId="5" fillId="4" borderId="21">
      <alignment/>
      <protection/>
    </xf>
    <xf numFmtId="3" fontId="9" fillId="15" borderId="6">
      <alignment/>
      <protection/>
    </xf>
    <xf numFmtId="3" fontId="9" fillId="8" borderId="6">
      <alignment/>
      <protection/>
    </xf>
    <xf numFmtId="2" fontId="0" fillId="0" borderId="0" applyFill="0" applyBorder="0" applyProtection="0">
      <alignment horizontal="right"/>
    </xf>
    <xf numFmtId="14" fontId="48" fillId="29" borderId="22" applyProtection="0">
      <alignment horizontal="right"/>
    </xf>
    <xf numFmtId="14" fontId="48" fillId="29" borderId="22" applyProtection="0">
      <alignment horizontal="left"/>
    </xf>
    <xf numFmtId="0" fontId="48" fillId="0" borderId="0" applyNumberFormat="0" applyFill="0" applyBorder="0" applyProtection="0">
      <alignment horizontal="left"/>
    </xf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1" fillId="15" borderId="3">
      <alignment horizontal="center" vertical="center"/>
      <protection/>
    </xf>
    <xf numFmtId="0" fontId="1" fillId="24" borderId="0">
      <alignment horizontal="center" vertical="center"/>
      <protection/>
    </xf>
    <xf numFmtId="0" fontId="0" fillId="4" borderId="6">
      <alignment/>
      <protection/>
    </xf>
    <xf numFmtId="4" fontId="0" fillId="30" borderId="6">
      <alignment/>
      <protection/>
    </xf>
    <xf numFmtId="0" fontId="61" fillId="0" borderId="0" applyNumberFormat="0" applyFill="0" applyBorder="0" applyAlignment="0" applyProtection="0"/>
    <xf numFmtId="0" fontId="0" fillId="5" borderId="7">
      <alignment/>
      <protection/>
    </xf>
    <xf numFmtId="0" fontId="0" fillId="5" borderId="10">
      <alignment/>
      <protection/>
    </xf>
  </cellStyleXfs>
  <cellXfs count="44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91" applyFont="1">
      <alignment/>
      <protection/>
    </xf>
    <xf numFmtId="0" fontId="5" fillId="0" borderId="0" xfId="91" applyFont="1" applyAlignment="1">
      <alignment horizontal="right"/>
      <protection/>
    </xf>
    <xf numFmtId="0" fontId="6" fillId="0" borderId="24" xfId="91" applyFont="1" applyBorder="1" applyAlignment="1">
      <alignment/>
      <protection/>
    </xf>
    <xf numFmtId="0" fontId="3" fillId="0" borderId="24" xfId="91" applyFont="1" applyBorder="1">
      <alignment/>
      <protection/>
    </xf>
    <xf numFmtId="0" fontId="5" fillId="0" borderId="24" xfId="91" applyFont="1" applyBorder="1" applyAlignment="1">
      <alignment horizontal="right"/>
      <protection/>
    </xf>
    <xf numFmtId="0" fontId="6" fillId="0" borderId="24" xfId="91" applyFont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91" applyFont="1" applyAlignment="1">
      <alignment horizontal="center"/>
      <protection/>
    </xf>
    <xf numFmtId="172" fontId="5" fillId="0" borderId="0" xfId="91" applyNumberFormat="1" applyFont="1">
      <alignment/>
      <protection/>
    </xf>
    <xf numFmtId="177" fontId="5" fillId="0" borderId="0" xfId="91" applyNumberFormat="1" applyFont="1" applyBorder="1" applyAlignment="1">
      <alignment horizontal="right"/>
      <protection/>
    </xf>
    <xf numFmtId="177" fontId="5" fillId="0" borderId="0" xfId="84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6" fillId="0" borderId="0" xfId="91" applyFont="1" applyBorder="1" applyAlignment="1">
      <alignment horizontal="center"/>
      <protection/>
    </xf>
    <xf numFmtId="3" fontId="0" fillId="0" borderId="0" xfId="0" applyNumberFormat="1" applyFont="1" applyAlignment="1">
      <alignment/>
    </xf>
    <xf numFmtId="177" fontId="6" fillId="0" borderId="0" xfId="91" applyNumberFormat="1" applyFont="1" applyBorder="1" applyAlignment="1">
      <alignment horizontal="right"/>
      <protection/>
    </xf>
    <xf numFmtId="0" fontId="17" fillId="0" borderId="0" xfId="0" applyFont="1" applyAlignment="1">
      <alignment/>
    </xf>
    <xf numFmtId="0" fontId="0" fillId="7" borderId="10" xfId="0" applyFill="1" applyBorder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 quotePrefix="1">
      <alignment horizontal="right" wrapText="1"/>
    </xf>
    <xf numFmtId="0" fontId="1" fillId="0" borderId="0" xfId="0" applyFont="1" applyAlignment="1">
      <alignment horizontal="right" wrapText="1"/>
    </xf>
    <xf numFmtId="0" fontId="0" fillId="18" borderId="10" xfId="0" applyFill="1" applyBorder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25" xfId="0" applyBorder="1" applyAlignment="1" quotePrefix="1">
      <alignment/>
    </xf>
    <xf numFmtId="0" fontId="9" fillId="0" borderId="0" xfId="0" applyFont="1" applyAlignment="1">
      <alignment horizontal="right" wrapText="1"/>
    </xf>
    <xf numFmtId="0" fontId="22" fillId="0" borderId="0" xfId="0" applyFont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172" fontId="5" fillId="0" borderId="0" xfId="91" applyNumberFormat="1" applyFont="1" applyBorder="1">
      <alignment/>
      <protection/>
    </xf>
    <xf numFmtId="0" fontId="9" fillId="0" borderId="0" xfId="0" applyFont="1" applyBorder="1" applyAlignment="1">
      <alignment horizontal="left"/>
    </xf>
    <xf numFmtId="177" fontId="5" fillId="0" borderId="0" xfId="91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91" applyFont="1" applyBorder="1">
      <alignment/>
      <protection/>
    </xf>
    <xf numFmtId="3" fontId="5" fillId="0" borderId="0" xfId="91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5" fillId="0" borderId="0" xfId="91" applyFont="1" applyBorder="1" applyAlignment="1">
      <alignment horizontal="right"/>
      <protection/>
    </xf>
    <xf numFmtId="0" fontId="3" fillId="0" borderId="0" xfId="91" applyFont="1" applyBorder="1">
      <alignment/>
      <protection/>
    </xf>
    <xf numFmtId="0" fontId="6" fillId="0" borderId="0" xfId="91" applyFont="1" applyBorder="1" applyAlignment="1">
      <alignment horizontal="right"/>
      <protection/>
    </xf>
    <xf numFmtId="0" fontId="0" fillId="0" borderId="0" xfId="0" applyBorder="1" applyAlignment="1">
      <alignment horizontal="center"/>
    </xf>
    <xf numFmtId="0" fontId="6" fillId="0" borderId="0" xfId="91" applyFont="1" applyBorder="1" applyAlignment="1">
      <alignment horizontal="centerContinuous"/>
      <protection/>
    </xf>
    <xf numFmtId="0" fontId="0" fillId="0" borderId="0" xfId="0" applyBorder="1" applyAlignment="1">
      <alignment horizontal="left"/>
    </xf>
    <xf numFmtId="0" fontId="6" fillId="0" borderId="0" xfId="91" applyFont="1" applyBorder="1" applyAlignment="1">
      <alignment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4" xfId="0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3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6" fillId="0" borderId="0" xfId="91" applyFont="1" applyBorder="1" applyAlignment="1">
      <alignment horizontal="center" wrapText="1"/>
      <protection/>
    </xf>
    <xf numFmtId="189" fontId="5" fillId="0" borderId="0" xfId="100" applyNumberFormat="1" applyFont="1" applyBorder="1" applyAlignment="1">
      <alignment horizontal="center"/>
    </xf>
    <xf numFmtId="3" fontId="5" fillId="0" borderId="0" xfId="84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24" xfId="0" applyBorder="1" applyAlignment="1">
      <alignment horizontal="left" wrapText="1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6" fillId="0" borderId="26" xfId="91" applyFont="1" applyBorder="1" applyAlignment="1">
      <alignment/>
      <protection/>
    </xf>
    <xf numFmtId="0" fontId="31" fillId="0" borderId="0" xfId="91" applyFont="1" applyAlignment="1">
      <alignment horizontal="left"/>
      <protection/>
    </xf>
    <xf numFmtId="0" fontId="0" fillId="0" borderId="0" xfId="0" applyAlignment="1">
      <alignment/>
    </xf>
    <xf numFmtId="0" fontId="32" fillId="0" borderId="0" xfId="91" applyFont="1" applyAlignment="1" quotePrefix="1">
      <alignment horizontal="left"/>
      <protection/>
    </xf>
    <xf numFmtId="0" fontId="1" fillId="0" borderId="0" xfId="0" applyFont="1" applyAlignment="1">
      <alignment horizontal="right"/>
    </xf>
    <xf numFmtId="189" fontId="0" fillId="0" borderId="0" xfId="10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89" fontId="0" fillId="0" borderId="0" xfId="100" applyNumberFormat="1" applyFont="1" applyAlignment="1" quotePrefix="1">
      <alignment horizontal="right"/>
    </xf>
    <xf numFmtId="3" fontId="0" fillId="0" borderId="24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194" fontId="0" fillId="0" borderId="0" xfId="0" applyNumberFormat="1" applyFont="1" applyAlignment="1">
      <alignment/>
    </xf>
    <xf numFmtId="194" fontId="0" fillId="0" borderId="0" xfId="0" applyNumberFormat="1" applyFont="1" applyAlignment="1">
      <alignment horizontal="right"/>
    </xf>
    <xf numFmtId="194" fontId="0" fillId="0" borderId="24" xfId="0" applyNumberFormat="1" applyFont="1" applyBorder="1" applyAlignment="1">
      <alignment/>
    </xf>
    <xf numFmtId="194" fontId="0" fillId="0" borderId="24" xfId="0" applyNumberFormat="1" applyFont="1" applyBorder="1" applyAlignment="1">
      <alignment horizontal="right"/>
    </xf>
    <xf numFmtId="194" fontId="24" fillId="0" borderId="0" xfId="0" applyNumberFormat="1" applyFont="1" applyAlignment="1">
      <alignment horizontal="right"/>
    </xf>
    <xf numFmtId="194" fontId="24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/>
    </xf>
    <xf numFmtId="9" fontId="0" fillId="0" borderId="27" xfId="100" applyFont="1" applyBorder="1" applyAlignment="1">
      <alignment horizontal="right"/>
    </xf>
    <xf numFmtId="9" fontId="0" fillId="0" borderId="0" xfId="100" applyFont="1" applyAlignment="1">
      <alignment horizontal="right"/>
    </xf>
    <xf numFmtId="9" fontId="0" fillId="0" borderId="28" xfId="100" applyFont="1" applyBorder="1" applyAlignment="1">
      <alignment horizontal="right"/>
    </xf>
    <xf numFmtId="9" fontId="0" fillId="0" borderId="24" xfId="10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9" fontId="1" fillId="0" borderId="0" xfId="100" applyFont="1" applyAlignment="1">
      <alignment horizontal="right"/>
    </xf>
    <xf numFmtId="3" fontId="0" fillId="0" borderId="24" xfId="0" applyNumberFormat="1" applyFont="1" applyBorder="1" applyAlignment="1">
      <alignment/>
    </xf>
    <xf numFmtId="0" fontId="6" fillId="0" borderId="0" xfId="91" applyFont="1" applyAlignment="1">
      <alignment/>
      <protection/>
    </xf>
    <xf numFmtId="0" fontId="34" fillId="0" borderId="0" xfId="0" applyFont="1" applyAlignment="1">
      <alignment horizontal="left"/>
    </xf>
    <xf numFmtId="0" fontId="36" fillId="0" borderId="0" xfId="91" applyFont="1" applyBorder="1" applyAlignment="1">
      <alignment horizontal="left" vertical="top"/>
      <protection/>
    </xf>
    <xf numFmtId="0" fontId="5" fillId="0" borderId="0" xfId="91" applyFont="1" applyBorder="1" applyAlignment="1">
      <alignment horizontal="center" vertical="center"/>
      <protection/>
    </xf>
    <xf numFmtId="0" fontId="5" fillId="0" borderId="0" xfId="91" applyFont="1">
      <alignment/>
      <protection/>
    </xf>
    <xf numFmtId="3" fontId="6" fillId="0" borderId="0" xfId="91" applyNumberFormat="1" applyFont="1" applyBorder="1" applyAlignment="1">
      <alignment horizontal="center" wrapText="1"/>
      <protection/>
    </xf>
    <xf numFmtId="0" fontId="37" fillId="0" borderId="0" xfId="91" applyFont="1" applyAlignment="1">
      <alignment horizontal="right"/>
      <protection/>
    </xf>
    <xf numFmtId="0" fontId="25" fillId="0" borderId="0" xfId="0" applyFont="1" applyAlignment="1">
      <alignment/>
    </xf>
    <xf numFmtId="3" fontId="6" fillId="0" borderId="0" xfId="91" applyNumberFormat="1" applyFont="1" applyBorder="1" applyAlignment="1">
      <alignment horizontal="right" vertical="center" wrapText="1"/>
      <protection/>
    </xf>
    <xf numFmtId="3" fontId="6" fillId="0" borderId="0" xfId="91" applyNumberFormat="1" applyFont="1" applyAlignment="1">
      <alignment horizontal="center" vertical="center" wrapText="1"/>
      <protection/>
    </xf>
    <xf numFmtId="0" fontId="37" fillId="0" borderId="0" xfId="91" applyFont="1" applyAlignment="1">
      <alignment horizontal="center" vertical="center"/>
      <protection/>
    </xf>
    <xf numFmtId="0" fontId="0" fillId="0" borderId="0" xfId="0" applyAlignment="1">
      <alignment horizontal="left" indent="1"/>
    </xf>
    <xf numFmtId="189" fontId="5" fillId="0" borderId="0" xfId="100" applyNumberFormat="1" applyFont="1" applyAlignment="1">
      <alignment horizontal="center" vertical="center"/>
    </xf>
    <xf numFmtId="0" fontId="5" fillId="0" borderId="0" xfId="91" applyFont="1" applyBorder="1" applyAlignment="1">
      <alignment horizontal="right" vertical="center"/>
      <protection/>
    </xf>
    <xf numFmtId="0" fontId="38" fillId="0" borderId="0" xfId="0" applyFont="1" applyAlignment="1">
      <alignment/>
    </xf>
    <xf numFmtId="0" fontId="5" fillId="0" borderId="0" xfId="91" applyFont="1" applyBorder="1" applyAlignment="1">
      <alignment horizontal="center"/>
      <protection/>
    </xf>
    <xf numFmtId="9" fontId="5" fillId="0" borderId="0" xfId="91" applyNumberFormat="1" applyFont="1" applyAlignment="1">
      <alignment horizontal="center" vertical="center"/>
      <protection/>
    </xf>
    <xf numFmtId="0" fontId="5" fillId="0" borderId="0" xfId="91" applyFont="1" applyAlignment="1">
      <alignment horizontal="center" vertical="center"/>
      <protection/>
    </xf>
    <xf numFmtId="0" fontId="37" fillId="0" borderId="0" xfId="91" applyFont="1" applyAlignment="1">
      <alignment vertical="center"/>
      <protection/>
    </xf>
    <xf numFmtId="0" fontId="5" fillId="0" borderId="0" xfId="91" applyFont="1" applyAlignment="1">
      <alignment vertical="center"/>
      <protection/>
    </xf>
    <xf numFmtId="0" fontId="35" fillId="0" borderId="0" xfId="91" applyFont="1" applyAlignment="1">
      <alignment horizontal="right"/>
      <protection/>
    </xf>
    <xf numFmtId="0" fontId="39" fillId="0" borderId="0" xfId="91" applyFont="1" applyBorder="1" applyAlignment="1">
      <alignment horizontal="left"/>
      <protection/>
    </xf>
    <xf numFmtId="0" fontId="37" fillId="0" borderId="0" xfId="91" applyFont="1" applyBorder="1" applyAlignment="1">
      <alignment horizontal="right"/>
      <protection/>
    </xf>
    <xf numFmtId="0" fontId="5" fillId="0" borderId="0" xfId="91" applyFont="1" applyBorder="1" applyAlignment="1">
      <alignment horizontal="left" vertical="center"/>
      <protection/>
    </xf>
    <xf numFmtId="0" fontId="5" fillId="0" borderId="0" xfId="91" applyFont="1" applyBorder="1" applyAlignment="1">
      <alignment vertical="center"/>
      <protection/>
    </xf>
    <xf numFmtId="1" fontId="5" fillId="0" borderId="0" xfId="91" applyNumberFormat="1" applyFont="1" applyBorder="1" applyAlignment="1">
      <alignment horizontal="center" vertical="center"/>
      <protection/>
    </xf>
    <xf numFmtId="3" fontId="6" fillId="0" borderId="29" xfId="91" applyNumberFormat="1" applyFont="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left"/>
      <protection/>
    </xf>
    <xf numFmtId="0" fontId="6" fillId="0" borderId="0" xfId="91" applyFont="1" applyBorder="1" applyAlignment="1">
      <alignment horizontal="right" vertical="center"/>
      <protection/>
    </xf>
    <xf numFmtId="9" fontId="6" fillId="0" borderId="29" xfId="100" applyNumberFormat="1" applyFont="1" applyBorder="1" applyAlignment="1">
      <alignment horizontal="center" vertical="center"/>
    </xf>
    <xf numFmtId="9" fontId="5" fillId="0" borderId="29" xfId="100" applyNumberFormat="1" applyFont="1" applyBorder="1" applyAlignment="1">
      <alignment horizontal="center" vertical="center"/>
    </xf>
    <xf numFmtId="0" fontId="6" fillId="0" borderId="0" xfId="91" applyFont="1" applyBorder="1" applyAlignment="1">
      <alignment horizontal="left" vertical="center"/>
      <protection/>
    </xf>
    <xf numFmtId="9" fontId="5" fillId="0" borderId="29" xfId="91" applyNumberFormat="1" applyFont="1" applyBorder="1" applyAlignment="1">
      <alignment horizontal="center" vertical="center"/>
      <protection/>
    </xf>
    <xf numFmtId="0" fontId="5" fillId="0" borderId="0" xfId="91" applyFont="1" applyBorder="1" applyAlignment="1">
      <alignment horizontal="left" vertical="center"/>
      <protection/>
    </xf>
    <xf numFmtId="9" fontId="5" fillId="0" borderId="29" xfId="91" applyNumberFormat="1" applyFont="1" applyBorder="1" applyAlignment="1" quotePrefix="1">
      <alignment horizontal="center" vertical="center"/>
      <protection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7" borderId="32" xfId="0" applyFill="1" applyBorder="1" applyAlignment="1">
      <alignment/>
    </xf>
    <xf numFmtId="0" fontId="0" fillId="0" borderId="24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19" fillId="0" borderId="24" xfId="0" applyFont="1" applyBorder="1" applyAlignment="1">
      <alignment horizontal="left"/>
    </xf>
    <xf numFmtId="0" fontId="19" fillId="0" borderId="0" xfId="0" applyFont="1" applyAlignment="1">
      <alignment horizontal="right"/>
    </xf>
    <xf numFmtId="172" fontId="0" fillId="0" borderId="0" xfId="0" applyNumberFormat="1" applyAlignment="1">
      <alignment horizontal="right"/>
    </xf>
    <xf numFmtId="3" fontId="0" fillId="0" borderId="0" xfId="0" applyNumberFormat="1" applyAlignment="1" quotePrefix="1">
      <alignment/>
    </xf>
    <xf numFmtId="0" fontId="0" fillId="0" borderId="24" xfId="0" applyBorder="1" applyAlignment="1">
      <alignment/>
    </xf>
    <xf numFmtId="3" fontId="1" fillId="0" borderId="0" xfId="0" applyNumberFormat="1" applyFont="1" applyAlignment="1">
      <alignment/>
    </xf>
    <xf numFmtId="0" fontId="26" fillId="19" borderId="34" xfId="0" applyFont="1" applyFill="1" applyBorder="1" applyAlignment="1">
      <alignment/>
    </xf>
    <xf numFmtId="0" fontId="26" fillId="19" borderId="0" xfId="0" applyFont="1" applyFill="1" applyBorder="1" applyAlignment="1">
      <alignment/>
    </xf>
    <xf numFmtId="0" fontId="1" fillId="19" borderId="35" xfId="0" applyFont="1" applyFill="1" applyBorder="1" applyAlignment="1">
      <alignment/>
    </xf>
    <xf numFmtId="0" fontId="0" fillId="19" borderId="36" xfId="0" applyFill="1" applyBorder="1" applyAlignment="1">
      <alignment/>
    </xf>
    <xf numFmtId="0" fontId="1" fillId="19" borderId="36" xfId="0" applyFont="1" applyFill="1" applyBorder="1" applyAlignment="1">
      <alignment/>
    </xf>
    <xf numFmtId="0" fontId="0" fillId="19" borderId="0" xfId="0" applyFill="1" applyBorder="1" applyAlignment="1">
      <alignment/>
    </xf>
    <xf numFmtId="0" fontId="1" fillId="19" borderId="35" xfId="0" applyFont="1" applyFill="1" applyBorder="1" applyAlignment="1">
      <alignment vertical="top" wrapText="1"/>
    </xf>
    <xf numFmtId="0" fontId="1" fillId="19" borderId="35" xfId="0" applyFont="1" applyFill="1" applyBorder="1" applyAlignment="1">
      <alignment vertical="top"/>
    </xf>
    <xf numFmtId="0" fontId="1" fillId="19" borderId="24" xfId="0" applyFont="1" applyFill="1" applyBorder="1" applyAlignment="1">
      <alignment/>
    </xf>
    <xf numFmtId="0" fontId="0" fillId="19" borderId="24" xfId="0" applyFill="1" applyBorder="1" applyAlignment="1">
      <alignment/>
    </xf>
    <xf numFmtId="0" fontId="1" fillId="19" borderId="24" xfId="0" applyFont="1" applyFill="1" applyBorder="1" applyAlignment="1">
      <alignment vertical="top"/>
    </xf>
    <xf numFmtId="0" fontId="8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19" borderId="36" xfId="0" applyFont="1" applyFill="1" applyBorder="1" applyAlignment="1">
      <alignment/>
    </xf>
    <xf numFmtId="0" fontId="40" fillId="19" borderId="0" xfId="0" applyFont="1" applyFill="1" applyBorder="1" applyAlignment="1">
      <alignment/>
    </xf>
    <xf numFmtId="0" fontId="41" fillId="0" borderId="0" xfId="91" applyFont="1" applyAlignment="1" quotePrefix="1">
      <alignment horizontal="left"/>
      <protection/>
    </xf>
    <xf numFmtId="0" fontId="41" fillId="0" borderId="0" xfId="91" applyFont="1" applyBorder="1" applyAlignment="1" quotePrefix="1">
      <alignment horizontal="left"/>
      <protection/>
    </xf>
    <xf numFmtId="0" fontId="9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91" applyFont="1" applyAlignment="1" quotePrefix="1">
      <alignment horizontal="left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24" xfId="0" applyNumberFormat="1" applyFont="1" applyBorder="1" applyAlignment="1">
      <alignment/>
    </xf>
    <xf numFmtId="0" fontId="0" fillId="0" borderId="0" xfId="0" applyFont="1" applyAlignment="1">
      <alignment horizontal="right"/>
    </xf>
    <xf numFmtId="189" fontId="0" fillId="0" borderId="0" xfId="10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Border="1" applyAlignment="1">
      <alignment horizontal="right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7" borderId="39" xfId="0" applyFont="1" applyFill="1" applyBorder="1" applyAlignment="1">
      <alignment/>
    </xf>
    <xf numFmtId="0" fontId="9" fillId="7" borderId="4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7" borderId="41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1" fillId="0" borderId="10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172" fontId="5" fillId="0" borderId="43" xfId="91" applyNumberFormat="1" applyFont="1" applyBorder="1">
      <alignment/>
      <protection/>
    </xf>
    <xf numFmtId="0" fontId="9" fillId="0" borderId="3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3" xfId="0" applyFont="1" applyFill="1" applyBorder="1" applyAlignment="1" applyProtection="1">
      <alignment/>
      <protection hidden="1"/>
    </xf>
    <xf numFmtId="0" fontId="9" fillId="0" borderId="31" xfId="0" applyFont="1" applyFill="1" applyBorder="1" applyAlignment="1" applyProtection="1">
      <alignment/>
      <protection hidden="1"/>
    </xf>
    <xf numFmtId="0" fontId="7" fillId="0" borderId="31" xfId="0" applyFont="1" applyFill="1" applyBorder="1" applyAlignment="1" applyProtection="1">
      <alignment/>
      <protection hidden="1"/>
    </xf>
    <xf numFmtId="3" fontId="9" fillId="0" borderId="31" xfId="0" applyNumberFormat="1" applyFont="1" applyFill="1" applyBorder="1" applyAlignment="1" applyProtection="1">
      <alignment/>
      <protection hidden="1"/>
    </xf>
    <xf numFmtId="0" fontId="9" fillId="0" borderId="32" xfId="0" applyFont="1" applyFill="1" applyBorder="1" applyAlignment="1" applyProtection="1">
      <alignment/>
      <protection hidden="1"/>
    </xf>
    <xf numFmtId="0" fontId="9" fillId="0" borderId="24" xfId="0" applyFont="1" applyFill="1" applyBorder="1" applyAlignment="1" applyProtection="1">
      <alignment/>
      <protection hidden="1"/>
    </xf>
    <xf numFmtId="3" fontId="9" fillId="0" borderId="33" xfId="0" applyNumberFormat="1" applyFont="1" applyFill="1" applyBorder="1" applyAlignment="1" applyProtection="1">
      <alignment/>
      <protection hidden="1"/>
    </xf>
    <xf numFmtId="0" fontId="6" fillId="0" borderId="26" xfId="91" applyFont="1" applyBorder="1" applyAlignment="1">
      <alignment horizontal="center"/>
      <protection/>
    </xf>
    <xf numFmtId="0" fontId="9" fillId="0" borderId="26" xfId="0" applyFont="1" applyBorder="1" applyAlignment="1">
      <alignment horizontal="left"/>
    </xf>
    <xf numFmtId="3" fontId="6" fillId="0" borderId="26" xfId="91" applyNumberFormat="1" applyFont="1" applyBorder="1" applyAlignment="1">
      <alignment horizontal="right"/>
      <protection/>
    </xf>
    <xf numFmtId="0" fontId="6" fillId="0" borderId="0" xfId="91" applyFont="1" applyBorder="1">
      <alignment/>
      <protection/>
    </xf>
    <xf numFmtId="189" fontId="9" fillId="0" borderId="31" xfId="100" applyNumberFormat="1" applyFont="1" applyBorder="1" applyAlignment="1">
      <alignment/>
    </xf>
    <xf numFmtId="0" fontId="9" fillId="0" borderId="32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8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8" fillId="0" borderId="42" xfId="0" applyFont="1" applyBorder="1" applyAlignment="1">
      <alignment/>
    </xf>
    <xf numFmtId="0" fontId="8" fillId="0" borderId="42" xfId="0" applyFont="1" applyFill="1" applyBorder="1" applyAlignment="1" applyProtection="1">
      <alignment/>
      <protection hidden="1"/>
    </xf>
    <xf numFmtId="0" fontId="8" fillId="0" borderId="26" xfId="0" applyFont="1" applyBorder="1" applyAlignment="1">
      <alignment horizontal="right" wrapText="1"/>
    </xf>
    <xf numFmtId="0" fontId="8" fillId="0" borderId="30" xfId="0" applyFont="1" applyBorder="1" applyAlignment="1">
      <alignment horizontal="right" wrapText="1"/>
    </xf>
    <xf numFmtId="0" fontId="9" fillId="0" borderId="4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31" xfId="0" applyFont="1" applyBorder="1" applyAlignment="1">
      <alignment horizontal="right" wrapText="1"/>
    </xf>
    <xf numFmtId="0" fontId="9" fillId="0" borderId="43" xfId="0" applyFont="1" applyBorder="1" applyAlignment="1">
      <alignment/>
    </xf>
    <xf numFmtId="0" fontId="9" fillId="0" borderId="0" xfId="0" applyFont="1" applyBorder="1" applyAlignment="1">
      <alignment/>
    </xf>
    <xf numFmtId="172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39" xfId="0" applyFont="1" applyBorder="1" applyAlignment="1">
      <alignment/>
    </xf>
    <xf numFmtId="0" fontId="7" fillId="0" borderId="42" xfId="0" applyFont="1" applyBorder="1" applyAlignment="1">
      <alignment/>
    </xf>
    <xf numFmtId="0" fontId="42" fillId="0" borderId="0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7" borderId="10" xfId="0" applyFont="1" applyFill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7" borderId="10" xfId="0" applyFont="1" applyFill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8" fillId="0" borderId="4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3" fontId="9" fillId="0" borderId="43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3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31" xfId="0" applyNumberFormat="1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49" xfId="0" applyFont="1" applyBorder="1" applyAlignment="1">
      <alignment/>
    </xf>
    <xf numFmtId="0" fontId="43" fillId="0" borderId="2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7" borderId="0" xfId="0" applyFont="1" applyFill="1" applyBorder="1" applyAlignment="1">
      <alignment/>
    </xf>
    <xf numFmtId="194" fontId="26" fillId="0" borderId="0" xfId="0" applyNumberFormat="1" applyFont="1" applyAlignment="1">
      <alignment horizontal="left"/>
    </xf>
    <xf numFmtId="0" fontId="20" fillId="7" borderId="1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2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9" fontId="0" fillId="0" borderId="27" xfId="10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9" fontId="0" fillId="0" borderId="0" xfId="100" applyFont="1" applyFill="1" applyAlignment="1">
      <alignment horizontal="right"/>
    </xf>
    <xf numFmtId="9" fontId="1" fillId="0" borderId="0" xfId="100" applyFont="1" applyFill="1" applyAlignment="1">
      <alignment horizontal="right"/>
    </xf>
    <xf numFmtId="189" fontId="0" fillId="0" borderId="0" xfId="100" applyNumberFormat="1" applyFont="1" applyFill="1" applyAlignment="1">
      <alignment horizontal="right"/>
    </xf>
    <xf numFmtId="189" fontId="0" fillId="0" borderId="24" xfId="100" applyNumberFormat="1" applyFont="1" applyFill="1" applyBorder="1" applyAlignment="1">
      <alignment horizontal="right"/>
    </xf>
    <xf numFmtId="189" fontId="0" fillId="0" borderId="0" xfId="0" applyNumberFormat="1" applyFont="1" applyFill="1" applyAlignment="1">
      <alignment horizontal="right"/>
    </xf>
    <xf numFmtId="189" fontId="1" fillId="0" borderId="0" xfId="10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 quotePrefix="1">
      <alignment horizontal="right" wrapText="1"/>
    </xf>
    <xf numFmtId="0" fontId="1" fillId="0" borderId="27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181" fontId="9" fillId="0" borderId="0" xfId="84" applyNumberFormat="1" applyFont="1" applyBorder="1" applyAlignment="1">
      <alignment/>
    </xf>
    <xf numFmtId="172" fontId="9" fillId="0" borderId="0" xfId="100" applyNumberFormat="1" applyFont="1" applyBorder="1" applyAlignment="1">
      <alignment/>
    </xf>
    <xf numFmtId="9" fontId="24" fillId="0" borderId="0" xfId="100" applyFont="1" applyAlignment="1">
      <alignment/>
    </xf>
    <xf numFmtId="1" fontId="9" fillId="0" borderId="0" xfId="0" applyNumberFormat="1" applyFont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9" fillId="22" borderId="0" xfId="0" applyFont="1" applyFill="1" applyBorder="1" applyAlignment="1">
      <alignment horizontal="right" wrapText="1"/>
    </xf>
    <xf numFmtId="0" fontId="9" fillId="22" borderId="43" xfId="0" applyFont="1" applyFill="1" applyBorder="1" applyAlignment="1">
      <alignment/>
    </xf>
    <xf numFmtId="9" fontId="0" fillId="0" borderId="0" xfId="0" applyNumberFormat="1" applyFont="1" applyFill="1" applyAlignment="1">
      <alignment horizontal="right"/>
    </xf>
    <xf numFmtId="9" fontId="1" fillId="0" borderId="27" xfId="0" applyNumberFormat="1" applyFont="1" applyFill="1" applyBorder="1" applyAlignment="1">
      <alignment horizontal="right"/>
    </xf>
    <xf numFmtId="9" fontId="0" fillId="0" borderId="27" xfId="100" applyNumberFormat="1" applyFont="1" applyFill="1" applyBorder="1" applyAlignment="1">
      <alignment horizontal="right"/>
    </xf>
    <xf numFmtId="9" fontId="0" fillId="0" borderId="0" xfId="100" applyNumberFormat="1" applyFont="1" applyFill="1" applyAlignment="1">
      <alignment horizontal="right"/>
    </xf>
    <xf numFmtId="9" fontId="0" fillId="0" borderId="28" xfId="100" applyNumberFormat="1" applyFont="1" applyFill="1" applyBorder="1" applyAlignment="1">
      <alignment horizontal="right"/>
    </xf>
    <xf numFmtId="9" fontId="0" fillId="0" borderId="24" xfId="100" applyNumberFormat="1" applyFont="1" applyFill="1" applyBorder="1" applyAlignment="1">
      <alignment horizontal="right"/>
    </xf>
    <xf numFmtId="0" fontId="5" fillId="0" borderId="0" xfId="91" applyFont="1" applyFill="1">
      <alignment/>
      <protection/>
    </xf>
    <xf numFmtId="0" fontId="9" fillId="0" borderId="0" xfId="0" applyFont="1" applyFill="1" applyBorder="1" applyAlignment="1">
      <alignment horizontal="right"/>
    </xf>
    <xf numFmtId="176" fontId="5" fillId="0" borderId="0" xfId="91" applyNumberFormat="1" applyFont="1">
      <alignment/>
      <protection/>
    </xf>
    <xf numFmtId="176" fontId="5" fillId="0" borderId="0" xfId="91" applyNumberFormat="1" applyFont="1" applyFill="1">
      <alignment/>
      <protection/>
    </xf>
    <xf numFmtId="176" fontId="5" fillId="18" borderId="0" xfId="91" applyNumberFormat="1" applyFont="1" applyFill="1">
      <alignment/>
      <protection/>
    </xf>
    <xf numFmtId="201" fontId="5" fillId="0" borderId="0" xfId="0" applyNumberFormat="1" applyFont="1" applyAlignment="1">
      <alignment/>
    </xf>
    <xf numFmtId="201" fontId="5" fillId="0" borderId="0" xfId="0" applyNumberFormat="1" applyFont="1" applyFill="1" applyAlignment="1">
      <alignment/>
    </xf>
    <xf numFmtId="201" fontId="5" fillId="18" borderId="0" xfId="0" applyNumberFormat="1" applyFont="1" applyFill="1" applyAlignment="1">
      <alignment/>
    </xf>
    <xf numFmtId="3" fontId="5" fillId="0" borderId="0" xfId="91" applyNumberFormat="1" applyFont="1">
      <alignment/>
      <protection/>
    </xf>
    <xf numFmtId="172" fontId="9" fillId="0" borderId="0" xfId="0" applyNumberFormat="1" applyFont="1" applyAlignment="1">
      <alignment horizontal="center"/>
    </xf>
    <xf numFmtId="0" fontId="9" fillId="0" borderId="44" xfId="0" applyFont="1" applyBorder="1" applyAlignment="1">
      <alignment horizontal="left"/>
    </xf>
    <xf numFmtId="177" fontId="35" fillId="0" borderId="0" xfId="91" applyNumberFormat="1" applyFont="1" applyAlignment="1">
      <alignment horizontal="right"/>
      <protection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 horizontal="right"/>
    </xf>
    <xf numFmtId="1" fontId="0" fillId="0" borderId="0" xfId="10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1" fontId="49" fillId="18" borderId="0" xfId="0" applyNumberFormat="1" applyFont="1" applyFill="1" applyBorder="1" applyAlignment="1">
      <alignment/>
    </xf>
    <xf numFmtId="1" fontId="49" fillId="0" borderId="0" xfId="0" applyNumberFormat="1" applyFont="1" applyBorder="1" applyAlignment="1">
      <alignment/>
    </xf>
    <xf numFmtId="0" fontId="9" fillId="18" borderId="0" xfId="0" applyFont="1" applyFill="1" applyBorder="1" applyAlignment="1">
      <alignment/>
    </xf>
    <xf numFmtId="0" fontId="9" fillId="18" borderId="0" xfId="0" applyFont="1" applyFill="1" applyAlignment="1">
      <alignment/>
    </xf>
    <xf numFmtId="3" fontId="50" fillId="18" borderId="0" xfId="0" applyNumberFormat="1" applyFont="1" applyFill="1" applyBorder="1" applyAlignment="1">
      <alignment/>
    </xf>
    <xf numFmtId="3" fontId="50" fillId="0" borderId="0" xfId="0" applyNumberFormat="1" applyFont="1" applyBorder="1" applyAlignment="1">
      <alignment/>
    </xf>
    <xf numFmtId="0" fontId="8" fillId="18" borderId="0" xfId="0" applyFont="1" applyFill="1" applyBorder="1" applyAlignment="1">
      <alignment/>
    </xf>
    <xf numFmtId="0" fontId="8" fillId="18" borderId="0" xfId="0" applyFont="1" applyFill="1" applyAlignment="1">
      <alignment/>
    </xf>
    <xf numFmtId="3" fontId="49" fillId="18" borderId="0" xfId="0" applyNumberFormat="1" applyFont="1" applyFill="1" applyBorder="1" applyAlignment="1">
      <alignment/>
    </xf>
    <xf numFmtId="3" fontId="49" fillId="0" borderId="0" xfId="0" applyNumberFormat="1" applyFont="1" applyBorder="1" applyAlignment="1">
      <alignment/>
    </xf>
    <xf numFmtId="3" fontId="9" fillId="22" borderId="0" xfId="0" applyNumberFormat="1" applyFont="1" applyFill="1" applyBorder="1" applyAlignment="1">
      <alignment horizontal="right"/>
    </xf>
    <xf numFmtId="0" fontId="9" fillId="22" borderId="0" xfId="0" applyFont="1" applyFill="1" applyBorder="1" applyAlignment="1">
      <alignment horizontal="right"/>
    </xf>
    <xf numFmtId="181" fontId="9" fillId="22" borderId="0" xfId="84" applyNumberFormat="1" applyFont="1" applyFill="1" applyBorder="1" applyAlignment="1">
      <alignment/>
    </xf>
    <xf numFmtId="0" fontId="0" fillId="0" borderId="36" xfId="0" applyBorder="1" applyAlignment="1">
      <alignment/>
    </xf>
    <xf numFmtId="0" fontId="9" fillId="0" borderId="0" xfId="0" applyFont="1" applyFill="1" applyAlignment="1">
      <alignment/>
    </xf>
    <xf numFmtId="1" fontId="0" fillId="0" borderId="0" xfId="0" applyNumberFormat="1" applyAlignment="1">
      <alignment/>
    </xf>
    <xf numFmtId="9" fontId="0" fillId="0" borderId="0" xfId="100" applyAlignment="1">
      <alignment/>
    </xf>
    <xf numFmtId="9" fontId="24" fillId="0" borderId="0" xfId="100" applyFont="1" applyAlignment="1">
      <alignment horizontal="right"/>
    </xf>
    <xf numFmtId="172" fontId="0" fillId="0" borderId="0" xfId="0" applyNumberFormat="1" applyAlignment="1">
      <alignment/>
    </xf>
    <xf numFmtId="0" fontId="0" fillId="5" borderId="0" xfId="0" applyFill="1" applyAlignment="1">
      <alignment/>
    </xf>
    <xf numFmtId="172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171" fontId="5" fillId="0" borderId="0" xfId="84" applyFont="1" applyAlignment="1">
      <alignment/>
    </xf>
    <xf numFmtId="171" fontId="5" fillId="18" borderId="0" xfId="84" applyFont="1" applyFill="1" applyAlignment="1">
      <alignment/>
    </xf>
    <xf numFmtId="172" fontId="9" fillId="0" borderId="0" xfId="0" applyNumberFormat="1" applyFont="1" applyAlignment="1">
      <alignment/>
    </xf>
    <xf numFmtId="0" fontId="5" fillId="8" borderId="0" xfId="91" applyFont="1" applyFill="1">
      <alignment/>
      <protection/>
    </xf>
    <xf numFmtId="0" fontId="9" fillId="8" borderId="0" xfId="0" applyFont="1" applyFill="1" applyBorder="1" applyAlignment="1">
      <alignment horizontal="left"/>
    </xf>
    <xf numFmtId="171" fontId="5" fillId="8" borderId="0" xfId="84" applyFont="1" applyFill="1" applyAlignment="1">
      <alignment/>
    </xf>
    <xf numFmtId="172" fontId="9" fillId="8" borderId="0" xfId="0" applyNumberFormat="1" applyFont="1" applyFill="1" applyAlignment="1">
      <alignment/>
    </xf>
    <xf numFmtId="0" fontId="0" fillId="8" borderId="0" xfId="0" applyFill="1" applyBorder="1" applyAlignment="1">
      <alignment/>
    </xf>
    <xf numFmtId="0" fontId="5" fillId="18" borderId="0" xfId="91" applyFont="1" applyFill="1">
      <alignment/>
      <protection/>
    </xf>
    <xf numFmtId="0" fontId="9" fillId="18" borderId="0" xfId="0" applyFont="1" applyFill="1" applyBorder="1" applyAlignment="1">
      <alignment horizontal="left"/>
    </xf>
    <xf numFmtId="172" fontId="9" fillId="18" borderId="0" xfId="0" applyNumberFormat="1" applyFont="1" applyFill="1" applyAlignment="1">
      <alignment/>
    </xf>
    <xf numFmtId="0" fontId="0" fillId="18" borderId="0" xfId="0" applyFill="1" applyBorder="1" applyAlignment="1">
      <alignment/>
    </xf>
    <xf numFmtId="171" fontId="5" fillId="0" borderId="0" xfId="91" applyNumberFormat="1" applyFont="1" applyBorder="1" applyAlignment="1">
      <alignment horizontal="right"/>
      <protection/>
    </xf>
    <xf numFmtId="172" fontId="6" fillId="0" borderId="0" xfId="91" applyNumberFormat="1" applyFont="1" applyBorder="1" applyAlignment="1">
      <alignment horizontal="right"/>
      <protection/>
    </xf>
    <xf numFmtId="172" fontId="9" fillId="0" borderId="37" xfId="0" applyNumberFormat="1" applyFont="1" applyBorder="1" applyAlignment="1">
      <alignment/>
    </xf>
    <xf numFmtId="172" fontId="9" fillId="0" borderId="38" xfId="0" applyNumberFormat="1" applyFont="1" applyBorder="1" applyAlignment="1">
      <alignment/>
    </xf>
    <xf numFmtId="172" fontId="9" fillId="0" borderId="47" xfId="0" applyNumberFormat="1" applyFont="1" applyBorder="1" applyAlignment="1">
      <alignment/>
    </xf>
    <xf numFmtId="172" fontId="9" fillId="0" borderId="50" xfId="0" applyNumberFormat="1" applyFont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31" xfId="0" applyNumberFormat="1" applyFont="1" applyBorder="1" applyAlignment="1">
      <alignment/>
    </xf>
    <xf numFmtId="172" fontId="9" fillId="0" borderId="51" xfId="0" applyNumberFormat="1" applyFont="1" applyBorder="1" applyAlignment="1">
      <alignment/>
    </xf>
    <xf numFmtId="172" fontId="9" fillId="0" borderId="52" xfId="0" applyNumberFormat="1" applyFont="1" applyBorder="1" applyAlignment="1">
      <alignment/>
    </xf>
    <xf numFmtId="172" fontId="9" fillId="0" borderId="53" xfId="0" applyNumberFormat="1" applyFont="1" applyBorder="1" applyAlignment="1">
      <alignment/>
    </xf>
    <xf numFmtId="0" fontId="6" fillId="0" borderId="42" xfId="91" applyFont="1" applyBorder="1" applyAlignment="1">
      <alignment horizontal="left"/>
      <protection/>
    </xf>
    <xf numFmtId="189" fontId="9" fillId="0" borderId="0" xfId="100" applyNumberFormat="1" applyFont="1" applyAlignment="1">
      <alignment/>
    </xf>
    <xf numFmtId="172" fontId="9" fillId="0" borderId="0" xfId="100" applyNumberFormat="1" applyFont="1" applyAlignment="1">
      <alignment/>
    </xf>
    <xf numFmtId="172" fontId="8" fillId="0" borderId="0" xfId="100" applyNumberFormat="1" applyFont="1" applyAlignment="1">
      <alignment/>
    </xf>
    <xf numFmtId="9" fontId="0" fillId="0" borderId="0" xfId="100" applyAlignment="1">
      <alignment/>
    </xf>
    <xf numFmtId="9" fontId="0" fillId="0" borderId="0" xfId="0" applyNumberFormat="1" applyAlignment="1">
      <alignment/>
    </xf>
    <xf numFmtId="1" fontId="0" fillId="22" borderId="0" xfId="0" applyNumberFormat="1" applyFill="1" applyAlignment="1">
      <alignment/>
    </xf>
    <xf numFmtId="1" fontId="0" fillId="8" borderId="0" xfId="0" applyNumberFormat="1" applyFill="1" applyAlignment="1">
      <alignment/>
    </xf>
    <xf numFmtId="171" fontId="5" fillId="0" borderId="0" xfId="84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91" applyFont="1" applyAlignment="1">
      <alignment horizontal="center"/>
      <protection/>
    </xf>
    <xf numFmtId="0" fontId="5" fillId="0" borderId="0" xfId="91" applyFont="1" applyFill="1" applyAlignment="1">
      <alignment horizontal="center"/>
      <protection/>
    </xf>
    <xf numFmtId="0" fontId="3" fillId="0" borderId="0" xfId="91" applyFont="1" applyBorder="1" applyAlignment="1">
      <alignment horizontal="center"/>
      <protection/>
    </xf>
    <xf numFmtId="0" fontId="5" fillId="0" borderId="0" xfId="91" applyFont="1" applyFill="1" applyBorder="1" applyAlignment="1">
      <alignment horizontal="center"/>
      <protection/>
    </xf>
    <xf numFmtId="1" fontId="6" fillId="0" borderId="0" xfId="91" applyNumberFormat="1" applyFont="1" applyBorder="1" applyAlignment="1">
      <alignment horizontal="center"/>
      <protection/>
    </xf>
    <xf numFmtId="0" fontId="6" fillId="0" borderId="0" xfId="91" applyFont="1" applyFill="1" applyBorder="1" applyAlignment="1">
      <alignment horizontal="center"/>
      <protection/>
    </xf>
    <xf numFmtId="0" fontId="6" fillId="0" borderId="0" xfId="91" applyFont="1" applyFill="1" applyAlignment="1">
      <alignment horizontal="center"/>
      <protection/>
    </xf>
    <xf numFmtId="177" fontId="5" fillId="0" borderId="0" xfId="91" applyNumberFormat="1" applyFont="1" applyBorder="1" applyAlignment="1">
      <alignment horizontal="right" vertical="center" wrapText="1"/>
      <protection/>
    </xf>
    <xf numFmtId="181" fontId="0" fillId="0" borderId="0" xfId="84" applyNumberFormat="1" applyFont="1" applyFill="1" applyAlignment="1">
      <alignment/>
    </xf>
    <xf numFmtId="181" fontId="0" fillId="0" borderId="0" xfId="84" applyNumberFormat="1" applyFont="1" applyFill="1" applyAlignment="1">
      <alignment/>
    </xf>
    <xf numFmtId="181" fontId="0" fillId="0" borderId="0" xfId="84" applyNumberFormat="1" applyFont="1" applyFill="1" applyAlignment="1">
      <alignment horizontal="right"/>
    </xf>
    <xf numFmtId="181" fontId="0" fillId="0" borderId="24" xfId="84" applyNumberFormat="1" applyFont="1" applyFill="1" applyBorder="1" applyAlignment="1">
      <alignment/>
    </xf>
    <xf numFmtId="181" fontId="0" fillId="0" borderId="24" xfId="84" applyNumberFormat="1" applyFont="1" applyFill="1" applyBorder="1" applyAlignment="1">
      <alignment horizontal="right"/>
    </xf>
    <xf numFmtId="172" fontId="9" fillId="0" borderId="0" xfId="100" applyNumberFormat="1" applyFont="1" applyAlignment="1">
      <alignment horizontal="center"/>
    </xf>
    <xf numFmtId="180" fontId="5" fillId="0" borderId="0" xfId="84" applyNumberFormat="1" applyFont="1" applyAlignment="1">
      <alignment/>
    </xf>
    <xf numFmtId="180" fontId="5" fillId="0" borderId="0" xfId="84" applyNumberFormat="1" applyFont="1" applyFill="1" applyAlignment="1">
      <alignment/>
    </xf>
    <xf numFmtId="0" fontId="0" fillId="0" borderId="42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a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irlineGrowthRate" xfId="40"/>
    <cellStyle name="Background" xfId="41"/>
    <cellStyle name="Bad" xfId="42"/>
    <cellStyle name="BaseNotInFlow" xfId="43"/>
    <cellStyle name="BaseYearASMs" xfId="44"/>
    <cellStyle name="BlueOutline" xfId="45"/>
    <cellStyle name="BorderlessInput" xfId="46"/>
    <cellStyle name="Calculation" xfId="47"/>
    <cellStyle name="Check Cell" xfId="48"/>
    <cellStyle name="Check05" xfId="49"/>
    <cellStyle name="Check10" xfId="50"/>
    <cellStyle name="Check15" xfId="51"/>
    <cellStyle name="Check20" xfId="52"/>
    <cellStyle name="Column2D" xfId="53"/>
    <cellStyle name="ColumnHeader" xfId="54"/>
    <cellStyle name="ConstraintOrange" xfId="55"/>
    <cellStyle name="Crosshatched" xfId="56"/>
    <cellStyle name="Euro" xfId="57"/>
    <cellStyle name="Explanatory Text" xfId="58"/>
    <cellStyle name="FcstASMs" xfId="59"/>
    <cellStyle name="FinalResults" xfId="60"/>
    <cellStyle name="FleetBackground" xfId="61"/>
    <cellStyle name="Flow" xfId="62"/>
    <cellStyle name="FlowHeader" xfId="63"/>
    <cellStyle name="ForecastBlue" xfId="64"/>
    <cellStyle name="Ghost" xfId="65"/>
    <cellStyle name="Good" xfId="66"/>
    <cellStyle name="Hatch" xfId="67"/>
    <cellStyle name="Header" xfId="68"/>
    <cellStyle name="Heading 1" xfId="69"/>
    <cellStyle name="Heading 2" xfId="70"/>
    <cellStyle name="Heading 3" xfId="71"/>
    <cellStyle name="Heading 4" xfId="72"/>
    <cellStyle name="Hyperlink" xfId="73"/>
    <cellStyle name="Followed Hyperlink" xfId="74"/>
    <cellStyle name="HistASMs" xfId="75"/>
    <cellStyle name="HistoricalCAGR" xfId="76"/>
    <cellStyle name="History" xfId="77"/>
    <cellStyle name="HistoryASM" xfId="78"/>
    <cellStyle name="HistoryShare" xfId="79"/>
    <cellStyle name="InitialValueYellow" xfId="80"/>
    <cellStyle name="Input" xfId="81"/>
    <cellStyle name="InputGray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ewFlow" xfId="89"/>
    <cellStyle name="NewRngCat" xfId="90"/>
    <cellStyle name="Normal_Appendix A p.2" xfId="91"/>
    <cellStyle name="Normal8" xfId="92"/>
    <cellStyle name="NormalBordered" xfId="93"/>
    <cellStyle name="NormalGreen" xfId="94"/>
    <cellStyle name="NormalGreenBordered" xfId="95"/>
    <cellStyle name="Note" xfId="96"/>
    <cellStyle name="Output" xfId="97"/>
    <cellStyle name="PFSSeriesStyle" xfId="98"/>
    <cellStyle name="PlainBordered" xfId="99"/>
    <cellStyle name="Percent" xfId="100"/>
    <cellStyle name="ProtectedCell" xfId="101"/>
    <cellStyle name="SelectedCell" xfId="102"/>
    <cellStyle name="SolverAdjustingBlue" xfId="103"/>
    <cellStyle name="SolverResidingPink" xfId="104"/>
    <cellStyle name="Style 21" xfId="105"/>
    <cellStyle name="Style 22" xfId="106"/>
    <cellStyle name="Style 23" xfId="107"/>
    <cellStyle name="Style 24" xfId="108"/>
    <cellStyle name="Title" xfId="109"/>
    <cellStyle name="Total" xfId="110"/>
    <cellStyle name="TurrqHeader" xfId="111"/>
    <cellStyle name="UnborderedHeader" xfId="112"/>
    <cellStyle name="UserInput" xfId="113"/>
    <cellStyle name="VarRefBlue" xfId="114"/>
    <cellStyle name="Warning Text" xfId="115"/>
    <cellStyle name="WorkingArea" xfId="116"/>
    <cellStyle name="WorkingArea2" xfId="117"/>
  </cellStyles>
  <dxfs count="5">
    <dxf>
      <font>
        <color auto="1"/>
      </font>
      <border/>
    </dxf>
    <dxf>
      <border>
        <left style="thin"/>
        <right style="thin"/>
        <top style="thin"/>
        <bottom style="thin"/>
      </border>
    </dxf>
    <dxf>
      <font>
        <sz val="8"/>
      </font>
      <border/>
    </dxf>
    <dxf>
      <numFmt numFmtId="172" formatCode="0.0"/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Delivery units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3425"/>
          <c:w val="0.5775"/>
          <c:h val="0.6095"/>
        </c:manualLayout>
      </c:layout>
      <c:doughnut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C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99933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Sheet1!$A$113:$A$116</c:f>
              <c:strCache>
                <c:ptCount val="4"/>
                <c:pt idx="0">
                  <c:v>Regional jets</c:v>
                </c:pt>
                <c:pt idx="1">
                  <c:v>Single aisle</c:v>
                </c:pt>
                <c:pt idx="2">
                  <c:v>Twin aisle</c:v>
                </c:pt>
                <c:pt idx="3">
                  <c:v>Large</c:v>
                </c:pt>
              </c:strCache>
            </c:strRef>
          </c:cat>
          <c:val>
            <c:numRef>
              <c:f>Sheet1!$B$113:$B$116</c:f>
              <c:numCache>
                <c:ptCount val="4"/>
                <c:pt idx="0">
                  <c:v>1980</c:v>
                </c:pt>
                <c:pt idx="1">
                  <c:v>23370</c:v>
                </c:pt>
                <c:pt idx="2">
                  <c:v>7330</c:v>
                </c:pt>
                <c:pt idx="3">
                  <c:v>820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975"/>
          <c:w val="0.888"/>
          <c:h val="0.949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Sheet1!$A$119</c:f>
              <c:strCache>
                <c:ptCount val="1"/>
                <c:pt idx="0">
                  <c:v>Regional jets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Sheet1!$B$118:$C$118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cat>
          <c:val>
            <c:numRef>
              <c:f>Sheet1!$B$119:$C$119</c:f>
              <c:numCache>
                <c:ptCount val="2"/>
                <c:pt idx="0">
                  <c:v>2900</c:v>
                </c:pt>
                <c:pt idx="1">
                  <c:v>2070</c:v>
                </c:pt>
              </c:numCache>
            </c:numRef>
          </c:val>
        </c:ser>
        <c:ser>
          <c:idx val="2"/>
          <c:order val="1"/>
          <c:tx>
            <c:strRef>
              <c:f>Sheet1!$A$120</c:f>
              <c:strCache>
                <c:ptCount val="1"/>
                <c:pt idx="0">
                  <c:v>Single aisle</c:v>
                </c:pt>
              </c:strCache>
            </c:strRef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Sheet1!$B$118:$C$118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cat>
          <c:val>
            <c:numRef>
              <c:f>Sheet1!$B$120:$C$120</c:f>
              <c:numCache>
                <c:ptCount val="2"/>
                <c:pt idx="0">
                  <c:v>12100</c:v>
                </c:pt>
                <c:pt idx="1">
                  <c:v>27750</c:v>
                </c:pt>
              </c:numCache>
            </c:numRef>
          </c:val>
        </c:ser>
        <c:ser>
          <c:idx val="3"/>
          <c:order val="2"/>
          <c:tx>
            <c:strRef>
              <c:f>Sheet1!$A$121</c:f>
              <c:strCache>
                <c:ptCount val="1"/>
                <c:pt idx="0">
                  <c:v>Twin aisle</c:v>
                </c:pt>
              </c:strCache>
            </c:strRef>
          </c:tx>
          <c:spPr>
            <a:solidFill>
              <a:srgbClr val="99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Sheet1!$B$118:$C$118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cat>
          <c:val>
            <c:numRef>
              <c:f>Sheet1!$B$121:$C$121</c:f>
              <c:numCache>
                <c:ptCount val="2"/>
                <c:pt idx="0">
                  <c:v>3640</c:v>
                </c:pt>
                <c:pt idx="1">
                  <c:v>8570</c:v>
                </c:pt>
              </c:numCache>
            </c:numRef>
          </c:val>
        </c:ser>
        <c:ser>
          <c:idx val="4"/>
          <c:order val="3"/>
          <c:tx>
            <c:strRef>
              <c:f>Sheet1!$A$122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Sheet1!$B$118:$C$118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cat>
          <c:val>
            <c:numRef>
              <c:f>Sheet1!$B$122:$C$122</c:f>
              <c:numCache>
                <c:ptCount val="2"/>
                <c:pt idx="0">
                  <c:v>770</c:v>
                </c:pt>
                <c:pt idx="1">
                  <c:v>1140</c:v>
                </c:pt>
              </c:numCache>
            </c:numRef>
          </c:val>
        </c:ser>
        <c:overlap val="100"/>
        <c:gapWidth val="70"/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2767250"/>
        <c:crosses val="autoZero"/>
        <c:auto val="1"/>
        <c:lblOffset val="0"/>
        <c:noMultiLvlLbl val="0"/>
      </c:catAx>
      <c:valAx>
        <c:axId val="6276725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56841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</cdr:y>
    </cdr:from>
    <cdr:to>
      <cdr:x>0.76225</cdr:x>
      <cdr:y>0.10775</cdr:y>
    </cdr:to>
    <cdr:sp>
      <cdr:nvSpPr>
        <cdr:cNvPr id="1" name="TextBox 1"/>
        <cdr:cNvSpPr txBox="1">
          <a:spLocks noChangeArrowheads="1"/>
        </cdr:cNvSpPr>
      </cdr:nvSpPr>
      <cdr:spPr>
        <a:xfrm>
          <a:off x="1104900" y="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Share of fleet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15</xdr:row>
      <xdr:rowOff>19050</xdr:rowOff>
    </xdr:from>
    <xdr:to>
      <xdr:col>1</xdr:col>
      <xdr:colOff>1219200</xdr:colOff>
      <xdr:row>22</xdr:row>
      <xdr:rowOff>85725</xdr:rowOff>
    </xdr:to>
    <xdr:grpSp>
      <xdr:nvGrpSpPr>
        <xdr:cNvPr id="1" name="Group 122"/>
        <xdr:cNvGrpSpPr>
          <a:grpSpLocks/>
        </xdr:cNvGrpSpPr>
      </xdr:nvGrpSpPr>
      <xdr:grpSpPr>
        <a:xfrm>
          <a:off x="457200" y="3105150"/>
          <a:ext cx="962025" cy="1219200"/>
          <a:chOff x="61" y="310"/>
          <a:chExt cx="108" cy="130"/>
        </a:xfrm>
        <a:solidFill>
          <a:srgbClr val="FFFFFF"/>
        </a:solidFill>
      </xdr:grpSpPr>
      <xdr:sp>
        <xdr:nvSpPr>
          <xdr:cNvPr id="2" name="Rectangle 24"/>
          <xdr:cNvSpPr>
            <a:spLocks/>
          </xdr:cNvSpPr>
        </xdr:nvSpPr>
        <xdr:spPr>
          <a:xfrm>
            <a:off x="61" y="416"/>
            <a:ext cx="17" cy="16"/>
          </a:xfrm>
          <a:prstGeom prst="rect">
            <a:avLst/>
          </a:prstGeom>
          <a:solidFill>
            <a:srgbClr val="008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5"/>
          <xdr:cNvSpPr>
            <a:spLocks/>
          </xdr:cNvSpPr>
        </xdr:nvSpPr>
        <xdr:spPr>
          <a:xfrm>
            <a:off x="61" y="314"/>
            <a:ext cx="17" cy="16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6"/>
          <xdr:cNvSpPr>
            <a:spLocks/>
          </xdr:cNvSpPr>
        </xdr:nvSpPr>
        <xdr:spPr>
          <a:xfrm>
            <a:off x="61" y="346"/>
            <a:ext cx="17" cy="17"/>
          </a:xfrm>
          <a:prstGeom prst="rect">
            <a:avLst/>
          </a:prstGeom>
          <a:solidFill>
            <a:srgbClr val="9999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7"/>
          <xdr:cNvSpPr>
            <a:spLocks/>
          </xdr:cNvSpPr>
        </xdr:nvSpPr>
        <xdr:spPr>
          <a:xfrm>
            <a:off x="61" y="380"/>
            <a:ext cx="17" cy="17"/>
          </a:xfrm>
          <a:prstGeom prst="rect">
            <a:avLst/>
          </a:prstGeom>
          <a:solidFill>
            <a:srgbClr val="3399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28"/>
          <xdr:cNvSpPr txBox="1">
            <a:spLocks noChangeArrowheads="1"/>
          </xdr:cNvSpPr>
        </xdr:nvSpPr>
        <xdr:spPr>
          <a:xfrm>
            <a:off x="82" y="419"/>
            <a:ext cx="8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Regional jets</a:t>
            </a:r>
          </a:p>
        </xdr:txBody>
      </xdr:sp>
      <xdr:sp>
        <xdr:nvSpPr>
          <xdr:cNvPr id="7" name="TextBox 29"/>
          <xdr:cNvSpPr txBox="1">
            <a:spLocks noChangeArrowheads="1"/>
          </xdr:cNvSpPr>
        </xdr:nvSpPr>
        <xdr:spPr>
          <a:xfrm>
            <a:off x="82" y="310"/>
            <a:ext cx="4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Large</a:t>
            </a:r>
          </a:p>
        </xdr:txBody>
      </xdr:sp>
      <xdr:sp>
        <xdr:nvSpPr>
          <xdr:cNvPr id="8" name="TextBox 30"/>
          <xdr:cNvSpPr txBox="1">
            <a:spLocks noChangeArrowheads="1"/>
          </xdr:cNvSpPr>
        </xdr:nvSpPr>
        <xdr:spPr>
          <a:xfrm>
            <a:off x="82" y="344"/>
            <a:ext cx="7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Twin aisle</a:t>
            </a:r>
          </a:p>
        </xdr:txBody>
      </xdr:sp>
      <xdr:sp>
        <xdr:nvSpPr>
          <xdr:cNvPr id="9" name="TextBox 31"/>
          <xdr:cNvSpPr txBox="1">
            <a:spLocks noChangeArrowheads="1"/>
          </xdr:cNvSpPr>
        </xdr:nvSpPr>
        <xdr:spPr>
          <a:xfrm>
            <a:off x="82" y="379"/>
            <a:ext cx="7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Single aisle</a:t>
            </a:r>
          </a:p>
        </xdr:txBody>
      </xdr:sp>
    </xdr:grpSp>
    <xdr:clientData/>
  </xdr:twoCellAnchor>
  <xdr:twoCellAnchor>
    <xdr:from>
      <xdr:col>5</xdr:col>
      <xdr:colOff>238125</xdr:colOff>
      <xdr:row>11</xdr:row>
      <xdr:rowOff>180975</xdr:rowOff>
    </xdr:from>
    <xdr:to>
      <xdr:col>7</xdr:col>
      <xdr:colOff>742950</xdr:colOff>
      <xdr:row>24</xdr:row>
      <xdr:rowOff>142875</xdr:rowOff>
    </xdr:to>
    <xdr:graphicFrame>
      <xdr:nvGraphicFramePr>
        <xdr:cNvPr id="10" name="Chart 32"/>
        <xdr:cNvGraphicFramePr/>
      </xdr:nvGraphicFramePr>
      <xdr:xfrm>
        <a:off x="4524375" y="2581275"/>
        <a:ext cx="22288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1600200</xdr:colOff>
      <xdr:row>12</xdr:row>
      <xdr:rowOff>47625</xdr:rowOff>
    </xdr:from>
    <xdr:to>
      <xdr:col>5</xdr:col>
      <xdr:colOff>247650</xdr:colOff>
      <xdr:row>26</xdr:row>
      <xdr:rowOff>209550</xdr:rowOff>
    </xdr:to>
    <xdr:graphicFrame>
      <xdr:nvGraphicFramePr>
        <xdr:cNvPr id="11" name="Chart 33"/>
        <xdr:cNvGraphicFramePr/>
      </xdr:nvGraphicFramePr>
      <xdr:xfrm>
        <a:off x="1800225" y="2647950"/>
        <a:ext cx="27336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952500</xdr:colOff>
      <xdr:row>8</xdr:row>
      <xdr:rowOff>66675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343025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-nw03-05\product_fcst\PFS2009\Communicating%20the%20forecast\Boeing%20Current%20Market%20Outlook%202009%20to%20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plane demand"/>
      <sheetName val="Traffic by flow"/>
      <sheetName val="Traffic within and between"/>
      <sheetName val="Traffic by region"/>
      <sheetName val="Growth vs. replacement"/>
      <sheetName val="Region summary"/>
      <sheetName val="Compare regions"/>
      <sheetName val="Detail by size segment"/>
      <sheetName val="Airplane demand summary"/>
      <sheetName val="Aircraft market sectors"/>
      <sheetName val="Sheet1"/>
      <sheetName val="Traffic data for database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U50" sheet="Traffic data for database"/>
  </cacheSource>
  <cacheFields count="21">
    <cacheField name="Traffic flow">
      <sharedItems containsBlank="1" containsMixedTypes="0" count="73">
        <s v="Within Africa"/>
        <s v="Africa to and from Europe"/>
        <s v="Africa to and from Middle East"/>
        <s v="Africa to and from North America"/>
        <s v="Africa to and from Southeast Asia"/>
        <s v="Within Central America"/>
        <s v="Central America to and from Europe"/>
        <s v="Central America to and from North America"/>
        <s v="Central America to and from South America"/>
        <s v="Within China"/>
        <s v="China to and from Europe"/>
        <s v="China to and from North America"/>
        <s v="China to and from Northeast Asia"/>
        <s v="China to and from Oceania (Australasia)"/>
        <s v="China to and from Southeast Asia"/>
        <s v="Within the C.I.S Region"/>
        <s v="C.I.S region to and from International"/>
        <s v="Within Europe"/>
        <s v="Europe to and from Middle East"/>
        <s v="Europe to and from North America"/>
        <s v="Europe to and from Northeast Asia"/>
        <s v="Europe to and from South America"/>
        <s v="Europe to and from Southeast Asia"/>
        <s v="Europe to and from South Asia"/>
        <s v="Within Middle East"/>
        <s v="Middle East to and from North America"/>
        <s v="Middle East to and from Southeast Asia"/>
        <s v="Middle East to and from South Asia"/>
        <s v="Within North America"/>
        <s v="North America to and from Northeast Asia"/>
        <s v="North America to and from Oceania (Australasia)"/>
        <s v="North America to and from South America"/>
        <s v="North America to and from Southeast Asia"/>
        <s v="Within Northeast Asia"/>
        <s v="Northeast Asia to and from Oceania (Australasia)"/>
        <s v="Northeast Asia to and from Southeast Asia"/>
        <s v="Within Oceania (Australasia)"/>
        <s v="Oceania (Australasia) to and from Southeast Asia"/>
        <s v="Within South America"/>
        <s v="Within Southeast Asia"/>
        <s v="Southeast Asia to and from South Asia"/>
        <s v="Within South Asia"/>
        <s v="Rest of World"/>
        <s v="World Total"/>
        <s v="Within The Asia Pacific Region"/>
        <s v="Within The Latin America Region"/>
        <m/>
        <s v="Southeast Asia to and from Southwest Asia"/>
        <s v="Within Oceania"/>
        <s v="Middle East to and from Southwest Asia"/>
        <s v="Within Southwest Asia"/>
        <s v="Within Russi and Central Asia"/>
        <s v="Within Russia and Central Asia"/>
        <s v="Canada"/>
        <s v="North America to and from Oceania"/>
        <s v="Northeast Asia to and from Oceania"/>
        <s v="Russia and Central Asia to and from International"/>
        <s v="Within C.I.S."/>
        <s v="Northeast Asia to and from Northeast Asia"/>
        <s v="C.I.S. to and from International"/>
        <s v="Within Latin America"/>
        <s v="Europe to and from Southwest Asia"/>
        <s v="Within the CIS Region"/>
        <s v="CIS region to and from International"/>
        <s v="Within Asia Pacific Region"/>
        <s v="Oceania to and from Southeast Asia"/>
        <s v="Asia Pacific"/>
        <s v="China to and from Oceania"/>
        <s v="Within Asia Pacific"/>
        <s v="Within Asia-Pacific"/>
        <s v="United States"/>
        <s v="Latin America"/>
        <s v="Rest of the World"/>
      </sharedItems>
    </cacheField>
    <cacheField name="SubregionA">
      <sharedItems containsMixedTypes="0" count="16">
        <s v="Africa"/>
        <s v="Central America"/>
        <s v="China"/>
        <s v="C.I.S."/>
        <s v="Europe"/>
        <s v="Middle East"/>
        <s v="North America"/>
        <s v="Northeast Asia"/>
        <s v="Oceania (Australasia)"/>
        <s v="South America"/>
        <s v="Southeast Asia"/>
        <s v="South Asia"/>
        <s v="Rest of World"/>
        <s v="World total"/>
        <s v="Asia Pacific"/>
        <s v="Latin America"/>
      </sharedItems>
    </cacheField>
    <cacheField name="SubregionB">
      <sharedItems containsMixedTypes="0" count="17">
        <s v="Africa"/>
        <s v="Europe"/>
        <s v="Middle East"/>
        <s v="North America"/>
        <s v="Southeast Asia"/>
        <s v="Central America"/>
        <s v="South America"/>
        <s v="China"/>
        <s v="Northeast Asia"/>
        <s v="Oceania (Australasia)"/>
        <s v="C.I.S."/>
        <s v="International"/>
        <s v="South Asia"/>
        <s v="Rest of the world"/>
        <s v="World total"/>
        <s v="Asia Pacific"/>
        <s v="Latin America"/>
      </sharedItems>
    </cacheField>
    <cacheField name="ForecastYear">
      <sharedItems containsSemiMixedTypes="0" containsString="0" containsMixedTypes="0" containsNumber="1" containsInteger="1" count="3">
        <n v="2011"/>
        <n v="2009"/>
        <n v="2010"/>
      </sharedItems>
    </cacheField>
    <cacheField name="A1020YEARVIEW">
      <sharedItems containsMixedTypes="0" count="1">
        <s v="20 years"/>
      </sharedItems>
    </cacheField>
    <cacheField name="2000">
      <sharedItems containsString="0" containsBlank="1" count="1">
        <m/>
      </sharedItems>
    </cacheField>
    <cacheField name="2001">
      <sharedItems containsString="0" containsBlank="1" count="1">
        <m/>
      </sharedItems>
    </cacheField>
    <cacheField name="2002">
      <sharedItems containsSemiMixedTypes="0" containsString="0" containsMixedTypes="0" containsNumber="1"/>
    </cacheField>
    <cacheField name="2003">
      <sharedItems containsSemiMixedTypes="0" containsString="0" containsMixedTypes="0" containsNumber="1"/>
    </cacheField>
    <cacheField name="2004">
      <sharedItems containsSemiMixedTypes="0" containsString="0" containsMixedTypes="0" containsNumber="1"/>
    </cacheField>
    <cacheField name="2005">
      <sharedItems containsSemiMixedTypes="0" containsString="0" containsMixedTypes="0" containsNumber="1"/>
    </cacheField>
    <cacheField name="2006">
      <sharedItems containsSemiMixedTypes="0" containsString="0" containsMixedTypes="0" containsNumber="1"/>
    </cacheField>
    <cacheField name="2007">
      <sharedItems containsSemiMixedTypes="0" containsString="0" containsMixedTypes="0" containsNumber="1"/>
    </cacheField>
    <cacheField name="2008">
      <sharedItems containsSemiMixedTypes="0" containsString="0" containsMixedTypes="0" containsNumber="1"/>
    </cacheField>
    <cacheField name="2009">
      <sharedItems containsSemiMixedTypes="0" containsString="0" containsMixedTypes="0" containsNumber="1"/>
    </cacheField>
    <cacheField name="BASEYEAR">
      <sharedItems containsSemiMixedTypes="0" containsString="0" containsMixedTypes="0" containsNumber="1"/>
    </cacheField>
    <cacheField name="ENDYEAR">
      <sharedItems containsSemiMixedTypes="0" containsString="0" containsMixedTypes="0" containsNumber="1"/>
    </cacheField>
    <cacheField name="BASEYEARTOENDYEAR">
      <sharedItems containsSemiMixedTypes="0" containsString="0" containsMixedTypes="0" containsNumber="1"/>
    </cacheField>
    <cacheField name="Selector">
      <sharedItems containsBlank="1" containsMixedTypes="0" count="3">
        <s v="Yes"/>
        <m/>
        <s v="No"/>
      </sharedItems>
    </cacheField>
    <cacheField name="RegionA">
      <sharedItems containsMixedTypes="0" count="9">
        <s v="Africa"/>
        <s v="Latin America"/>
        <s v="Asia Pacific"/>
        <s v="C.I.S."/>
        <s v="Europe"/>
        <s v="Middle East"/>
        <s v="North America"/>
        <s v="Rest of the world"/>
        <s v="World"/>
      </sharedItems>
    </cacheField>
    <cacheField name="RegionB">
      <sharedItems containsMixedTypes="0" count="10">
        <s v="Africa"/>
        <s v="Europe"/>
        <s v="Middle East"/>
        <s v="North America"/>
        <s v="Asia Pacific"/>
        <s v="Latin America"/>
        <s v="C.I.S."/>
        <s v="International"/>
        <s v="Rest of the world"/>
        <s v="Worl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C130:M178" firstHeaderRow="1" firstDataRow="2" firstDataCol="1" rowPageCount="2" colPageCount="1"/>
  <pivotFields count="21">
    <pivotField axis="axisRow" compact="0" outline="0" subtotalTop="0" showAll="0">
      <items count="74">
        <item x="43"/>
        <item x="45"/>
        <item x="15"/>
        <item x="44"/>
        <item x="39"/>
        <item n="Within South Asia " x="41"/>
        <item x="38"/>
        <item x="36"/>
        <item x="33"/>
        <item x="28"/>
        <item x="24"/>
        <item x="17"/>
        <item x="9"/>
        <item x="5"/>
        <item x="0"/>
        <item n="Southeast Asia to and from South Asia " x="40"/>
        <item x="42"/>
        <item x="37"/>
        <item x="35"/>
        <item x="34"/>
        <item x="32"/>
        <item x="31"/>
        <item x="30"/>
        <item x="29"/>
        <item x="26"/>
        <item n="Middle East to and from South Asia " x="27"/>
        <item x="25"/>
        <item x="22"/>
        <item n="Europe to and from South Asia " x="23"/>
        <item x="21"/>
        <item x="20"/>
        <item x="19"/>
        <item x="18"/>
        <item x="14"/>
        <item x="13"/>
        <item x="12"/>
        <item x="11"/>
        <item x="10"/>
        <item x="8"/>
        <item x="7"/>
        <item x="6"/>
        <item x="16"/>
        <item x="4"/>
        <item x="3"/>
        <item x="2"/>
        <item x="1"/>
        <item m="1" x="66"/>
        <item m="1" x="59"/>
        <item h="1" m="1" x="53"/>
        <item m="1" x="67"/>
        <item n="Europe to and from South Asia" m="1" x="61"/>
        <item m="1" x="71"/>
        <item n="Middle East to and from South Asia" m="1" x="49"/>
        <item m="1" x="54"/>
        <item m="1" x="58"/>
        <item m="1" x="55"/>
        <item m="1" x="65"/>
        <item m="1" x="72"/>
        <item m="1" x="56"/>
        <item n="Southeast Asia to and from South Asia" m="1" x="47"/>
        <item h="1" m="1" x="70"/>
        <item n="Within Asia Pacific" h="1" m="1" x="69"/>
        <item n="Within Asia Pacific " m="1" x="68"/>
        <item m="1" x="64"/>
        <item m="1" x="57"/>
        <item m="1" x="60"/>
        <item m="1" x="48"/>
        <item m="1" x="51"/>
        <item m="1" x="52"/>
        <item n="Within South Asia" m="1" x="50"/>
        <item m="1" x="46"/>
        <item m="1" x="62"/>
        <item m="1" x="63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4">
        <item m="1" x="1"/>
        <item m="1" x="2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177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axis="axisPage" compact="0" outline="0" subtotalTop="0" showAll="0">
      <items count="4">
        <item m="1" x="2"/>
        <item x="0"/>
        <item m="1" x="1"/>
        <item t="default"/>
      </items>
    </pivotField>
    <pivotField compact="0" outline="0" subtotalTop="0" showAll="0"/>
    <pivotField compact="0" outline="0" subtotalTop="0" showAll="0"/>
  </pivotFields>
  <rowFields count="1">
    <field x="0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2">
    <pageField fld="18" item="1" hier="0"/>
    <pageField fld="3" item="2" hier="0"/>
  </pageFields>
  <dataFields count="10">
    <dataField name="Sum of 2002" fld="7" baseField="0" baseItem="0"/>
    <dataField name="Sum of 2003" fld="8" baseField="0" baseItem="0"/>
    <dataField name="Sum of 2004" fld="9" baseField="0" baseItem="0"/>
    <dataField name="Sum of 2005" fld="10" baseField="0" baseItem="0"/>
    <dataField name="Sum of 2006" fld="11" baseField="0" baseItem="0"/>
    <dataField name="Sum of 2007" fld="12" baseField="0" baseItem="0"/>
    <dataField name="Sum of 2008" fld="13" baseField="0" baseItem="0"/>
    <dataField name="Sum of 2009" fld="14" baseField="0" baseItem="0"/>
    <dataField name="Sum of BASEYEAR" fld="15" baseField="0" baseItem="0"/>
    <dataField name="Sum of ENDYEAR" fld="16" baseField="0" baseItem="0"/>
  </dataFields>
  <formats count="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boeing.com/cmo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oeing.com/cmo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oeing.com/cmo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oeing.com/cmo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oeing.com/cmo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oeing.com/cmo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oeing.com/cmo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Y142"/>
  <sheetViews>
    <sheetView showGridLines="0" workbookViewId="0" topLeftCell="A1">
      <selection activeCell="A1" sqref="A1:IV16384"/>
    </sheetView>
  </sheetViews>
  <sheetFormatPr defaultColWidth="11.421875" defaultRowHeight="12.75"/>
  <cols>
    <col min="1" max="1" width="42.57421875" style="53" customWidth="1"/>
    <col min="2" max="2" width="16.140625" style="53" customWidth="1"/>
    <col min="3" max="3" width="17.8515625" style="53" bestFit="1" customWidth="1"/>
    <col min="4" max="6" width="11.421875" style="53" customWidth="1"/>
    <col min="7" max="12" width="11.421875" style="53" bestFit="1" customWidth="1"/>
    <col min="13" max="15" width="11.421875" style="53" customWidth="1"/>
    <col min="16" max="16" width="18.421875" style="53" bestFit="1" customWidth="1"/>
    <col min="17" max="17" width="18.421875" style="53" customWidth="1"/>
    <col min="18" max="18" width="18.421875" style="57" customWidth="1"/>
    <col min="19" max="19" width="7.8515625" style="53" bestFit="1" customWidth="1"/>
    <col min="20" max="20" width="21.421875" style="53" bestFit="1" customWidth="1"/>
    <col min="21" max="21" width="9.140625" style="53" customWidth="1"/>
    <col min="22" max="22" width="6.8515625" style="53" bestFit="1" customWidth="1"/>
    <col min="23" max="23" width="9.140625" style="53" customWidth="1"/>
    <col min="24" max="24" width="21.421875" style="53" bestFit="1" customWidth="1"/>
    <col min="25" max="16384" width="9.140625" style="53" customWidth="1"/>
  </cols>
  <sheetData>
    <row r="1" spans="1:5" ht="12.75">
      <c r="A1" s="45">
        <f>baseyear</f>
        <v>2010</v>
      </c>
      <c r="B1" s="40" t="s">
        <v>316</v>
      </c>
      <c r="C1" s="40"/>
      <c r="D1" s="40"/>
      <c r="E1" s="40"/>
    </row>
    <row r="2" spans="1:18" ht="12.75">
      <c r="A2" s="55" t="s">
        <v>147</v>
      </c>
      <c r="B2" s="55"/>
      <c r="C2" s="55"/>
      <c r="D2" s="55"/>
      <c r="E2" s="55"/>
      <c r="F2" s="55"/>
      <c r="G2" s="55"/>
      <c r="H2" s="55"/>
      <c r="I2" s="55"/>
      <c r="J2" s="55"/>
      <c r="K2" s="54"/>
      <c r="L2" s="54"/>
      <c r="M2" s="54"/>
      <c r="N2" s="54"/>
      <c r="O2" s="54"/>
      <c r="R2" s="58"/>
    </row>
    <row r="3" spans="1:18" ht="12.75">
      <c r="A3" s="55"/>
      <c r="B3" s="59"/>
      <c r="C3" s="59"/>
      <c r="D3" s="59"/>
      <c r="E3" s="59"/>
      <c r="F3" s="60" t="s">
        <v>148</v>
      </c>
      <c r="G3" s="55"/>
      <c r="H3" s="55"/>
      <c r="I3" s="55"/>
      <c r="J3" s="55"/>
      <c r="K3" s="55"/>
      <c r="L3" s="55"/>
      <c r="M3" s="55"/>
      <c r="N3" s="55"/>
      <c r="O3" s="55"/>
      <c r="P3" s="54"/>
      <c r="Q3" s="54"/>
      <c r="R3" s="24" t="s">
        <v>149</v>
      </c>
    </row>
    <row r="4" spans="1:25" ht="12.75">
      <c r="A4" s="61" t="s">
        <v>150</v>
      </c>
      <c r="B4" s="46" t="s">
        <v>362</v>
      </c>
      <c r="C4" s="46" t="s">
        <v>363</v>
      </c>
      <c r="D4" s="46" t="s">
        <v>383</v>
      </c>
      <c r="E4" s="46" t="s">
        <v>358</v>
      </c>
      <c r="F4" s="56">
        <v>2000</v>
      </c>
      <c r="G4" s="56">
        <v>2001</v>
      </c>
      <c r="H4" s="56">
        <v>2002</v>
      </c>
      <c r="I4" s="56">
        <v>2003</v>
      </c>
      <c r="J4" s="56">
        <v>2004</v>
      </c>
      <c r="K4" s="56">
        <v>2005</v>
      </c>
      <c r="L4" s="56">
        <v>2006</v>
      </c>
      <c r="M4" s="56">
        <v>2007</v>
      </c>
      <c r="N4" s="56">
        <v>2008</v>
      </c>
      <c r="O4" s="56">
        <v>2009</v>
      </c>
      <c r="P4" s="56" t="s">
        <v>361</v>
      </c>
      <c r="Q4" s="56" t="s">
        <v>360</v>
      </c>
      <c r="R4" s="24" t="s">
        <v>359</v>
      </c>
      <c r="S4" s="62" t="s">
        <v>151</v>
      </c>
      <c r="T4" s="62" t="s">
        <v>364</v>
      </c>
      <c r="U4" s="62" t="s">
        <v>365</v>
      </c>
      <c r="X4" s="53" t="s">
        <v>107</v>
      </c>
      <c r="Y4" s="53" t="s">
        <v>79</v>
      </c>
    </row>
    <row r="5" spans="1:25" ht="12.75">
      <c r="A5" s="119" t="s">
        <v>152</v>
      </c>
      <c r="B5" s="48" t="s">
        <v>105</v>
      </c>
      <c r="C5" s="48" t="s">
        <v>105</v>
      </c>
      <c r="D5" s="48">
        <v>2011</v>
      </c>
      <c r="E5" s="48" t="s">
        <v>204</v>
      </c>
      <c r="F5" s="391"/>
      <c r="G5" s="391"/>
      <c r="H5" s="391">
        <v>24.31436037453738</v>
      </c>
      <c r="I5" s="391">
        <v>26.67396563902321</v>
      </c>
      <c r="J5" s="391">
        <v>29.481166963285247</v>
      </c>
      <c r="K5" s="391">
        <v>35.97304281781172</v>
      </c>
      <c r="L5" s="391">
        <v>35.56006928196569</v>
      </c>
      <c r="M5" s="391">
        <v>37.30992457523483</v>
      </c>
      <c r="N5" s="391">
        <v>41.58163231681399</v>
      </c>
      <c r="O5" s="391">
        <v>43.87738013235306</v>
      </c>
      <c r="P5" s="422">
        <v>49.963499451573945</v>
      </c>
      <c r="Q5" s="422">
        <v>136.18527158031347</v>
      </c>
      <c r="R5" s="393">
        <v>5.316713590821842</v>
      </c>
      <c r="S5" s="50" t="str">
        <f>IF('Region summary'!$B$5="World","Yes",IF(AND(D5=Sheet1!$F$114,'Traffic data for database'!E51=Forecast_timeframe),IF(OR(B5=Sheet1!$C$125,C5=Sheet1!$C$125,T5=Sheet1!$C$125,U5=Sheet1!$C$125),"Yes","No"),"No"))</f>
        <v>Yes</v>
      </c>
      <c r="T5" s="50" t="str">
        <f aca="true" t="shared" si="0" ref="T5:T36">VLOOKUP(B5,$X$5:$Y$23,2,FALSE)</f>
        <v>Africa</v>
      </c>
      <c r="U5" s="50" t="str">
        <f aca="true" t="shared" si="1" ref="U5:U46">VLOOKUP(C5,$X$5:$Y$23,2,FALSE)</f>
        <v>Africa</v>
      </c>
      <c r="X5" s="53" t="s">
        <v>105</v>
      </c>
      <c r="Y5" s="53" t="s">
        <v>105</v>
      </c>
    </row>
    <row r="6" spans="1:25" ht="12.75">
      <c r="A6" s="119" t="s">
        <v>154</v>
      </c>
      <c r="B6" s="48" t="s">
        <v>105</v>
      </c>
      <c r="C6" s="48" t="s">
        <v>102</v>
      </c>
      <c r="D6" s="48">
        <v>2011</v>
      </c>
      <c r="E6" s="48" t="s">
        <v>204</v>
      </c>
      <c r="F6" s="391"/>
      <c r="G6" s="391"/>
      <c r="H6" s="391">
        <v>92.63486711917454</v>
      </c>
      <c r="I6" s="391">
        <v>96.43040151460268</v>
      </c>
      <c r="J6" s="391">
        <v>101.72974153702388</v>
      </c>
      <c r="K6" s="391">
        <v>106.36883107973927</v>
      </c>
      <c r="L6" s="391">
        <v>121.94799202043107</v>
      </c>
      <c r="M6" s="391">
        <v>125.32301788553914</v>
      </c>
      <c r="N6" s="391">
        <v>125.60353185035959</v>
      </c>
      <c r="O6" s="391">
        <v>128.1689843921267</v>
      </c>
      <c r="P6" s="422">
        <v>138.05088262136738</v>
      </c>
      <c r="Q6" s="422">
        <v>339.16974268726307</v>
      </c>
      <c r="R6" s="393">
        <v>4.632481927367249</v>
      </c>
      <c r="S6" s="50" t="str">
        <f>IF('Region summary'!$B$5="World","Yes",IF(AND(D6=Sheet1!$F$114,'Traffic data for database'!E52=Forecast_timeframe),IF(OR(B6=Sheet1!$C$125,C6=Sheet1!$C$125,T6=Sheet1!$C$125,U6=Sheet1!$C$125),"Yes","No"),"No"))</f>
        <v>Yes</v>
      </c>
      <c r="T6" s="50" t="str">
        <f t="shared" si="0"/>
        <v>Africa</v>
      </c>
      <c r="U6" s="50" t="str">
        <f t="shared" si="1"/>
        <v>Europe</v>
      </c>
      <c r="X6" s="53" t="s">
        <v>153</v>
      </c>
      <c r="Y6" s="53" t="s">
        <v>104</v>
      </c>
    </row>
    <row r="7" spans="1:25" ht="12.75">
      <c r="A7" s="119" t="s">
        <v>155</v>
      </c>
      <c r="B7" s="48" t="s">
        <v>105</v>
      </c>
      <c r="C7" s="48" t="s">
        <v>103</v>
      </c>
      <c r="D7" s="48">
        <v>2011</v>
      </c>
      <c r="E7" s="48" t="s">
        <v>204</v>
      </c>
      <c r="F7" s="391"/>
      <c r="G7" s="391"/>
      <c r="H7" s="391">
        <v>11.462960043968822</v>
      </c>
      <c r="I7" s="391">
        <v>13.026353245913658</v>
      </c>
      <c r="J7" s="391">
        <v>12.366494283202497</v>
      </c>
      <c r="K7" s="391">
        <v>16.79350146305171</v>
      </c>
      <c r="L7" s="391">
        <v>20.87494642836356</v>
      </c>
      <c r="M7" s="391">
        <v>23.087497273895156</v>
      </c>
      <c r="N7" s="391">
        <v>24.897960348377797</v>
      </c>
      <c r="O7" s="391">
        <v>32.855548677318716</v>
      </c>
      <c r="P7" s="422">
        <v>35.69794977585335</v>
      </c>
      <c r="Q7" s="422">
        <v>122.79352954299333</v>
      </c>
      <c r="R7" s="393">
        <v>6.672959596890626</v>
      </c>
      <c r="S7" s="50" t="str">
        <f>IF('Region summary'!$B$5="World","Yes",IF(AND(D7=Sheet1!$F$114,'Traffic data for database'!E53=Forecast_timeframe),IF(OR(B7=Sheet1!$C$125,C7=Sheet1!$C$125,T7=Sheet1!$C$125,U7=Sheet1!$C$125),"Yes","No"),"No"))</f>
        <v>Yes</v>
      </c>
      <c r="T7" s="50" t="str">
        <f t="shared" si="0"/>
        <v>Africa</v>
      </c>
      <c r="U7" s="50" t="str">
        <f t="shared" si="1"/>
        <v>Middle East</v>
      </c>
      <c r="X7" s="53" t="s">
        <v>108</v>
      </c>
      <c r="Y7" s="53" t="s">
        <v>483</v>
      </c>
    </row>
    <row r="8" spans="1:25" ht="12.75">
      <c r="A8" s="119" t="s">
        <v>156</v>
      </c>
      <c r="B8" s="48" t="s">
        <v>105</v>
      </c>
      <c r="C8" s="48" t="s">
        <v>101</v>
      </c>
      <c r="D8" s="48">
        <v>2011</v>
      </c>
      <c r="E8" s="48" t="s">
        <v>204</v>
      </c>
      <c r="F8" s="391"/>
      <c r="G8" s="391"/>
      <c r="H8" s="391">
        <v>5.458229165615114</v>
      </c>
      <c r="I8" s="391">
        <v>4.382469334768332</v>
      </c>
      <c r="J8" s="391">
        <v>3.7554826279637146</v>
      </c>
      <c r="K8" s="391">
        <v>3.33092218272497</v>
      </c>
      <c r="L8" s="391">
        <v>4.328912867346371</v>
      </c>
      <c r="M8" s="391">
        <v>4.8850535677896705</v>
      </c>
      <c r="N8" s="391">
        <v>6.282115115939246</v>
      </c>
      <c r="O8" s="391">
        <v>8.769721801212397</v>
      </c>
      <c r="P8" s="422">
        <v>11.425248576153416</v>
      </c>
      <c r="Q8" s="422">
        <v>39.68300284173779</v>
      </c>
      <c r="R8" s="393">
        <v>6.459755662381372</v>
      </c>
      <c r="S8" s="50" t="str">
        <f>IF('Region summary'!$B$5="World","Yes",IF(AND(D8=Sheet1!$F$114,'Traffic data for database'!E54=Forecast_timeframe),IF(OR(B8=Sheet1!$C$125,C8=Sheet1!$C$125,T8=Sheet1!$C$125,U8=Sheet1!$C$125),"Yes","No"),"No"))</f>
        <v>Yes</v>
      </c>
      <c r="T8" s="50" t="str">
        <f t="shared" si="0"/>
        <v>Africa</v>
      </c>
      <c r="U8" s="50" t="str">
        <f t="shared" si="1"/>
        <v>North America</v>
      </c>
      <c r="X8" s="53" t="s">
        <v>102</v>
      </c>
      <c r="Y8" s="53" t="s">
        <v>102</v>
      </c>
    </row>
    <row r="9" spans="1:25" ht="12.75">
      <c r="A9" s="119" t="s">
        <v>157</v>
      </c>
      <c r="B9" s="48" t="s">
        <v>105</v>
      </c>
      <c r="C9" s="48" t="s">
        <v>111</v>
      </c>
      <c r="D9" s="48">
        <v>2011</v>
      </c>
      <c r="E9" s="48" t="s">
        <v>204</v>
      </c>
      <c r="F9" s="391"/>
      <c r="G9" s="391"/>
      <c r="H9" s="391">
        <v>3.2193038891554</v>
      </c>
      <c r="I9" s="391">
        <v>2.9050187913352823</v>
      </c>
      <c r="J9" s="391">
        <v>3.306884039934547</v>
      </c>
      <c r="K9" s="391">
        <v>4.065335683243182</v>
      </c>
      <c r="L9" s="391">
        <v>4.118312788165782</v>
      </c>
      <c r="M9" s="391">
        <v>4.501622824686041</v>
      </c>
      <c r="N9" s="391">
        <v>5.241305336304433</v>
      </c>
      <c r="O9" s="391">
        <v>4.1944755242402865</v>
      </c>
      <c r="P9" s="422">
        <v>5.637198003299394</v>
      </c>
      <c r="Q9" s="422">
        <v>24.009822766489133</v>
      </c>
      <c r="R9" s="393">
        <v>7.551186963600598</v>
      </c>
      <c r="S9" s="50" t="str">
        <f>IF('Region summary'!$B$5="World","Yes",IF(AND(D9=Sheet1!$F$114,'Traffic data for database'!E55=Forecast_timeframe),IF(OR(B9=Sheet1!$C$125,C9=Sheet1!$C$125,T9=Sheet1!$C$125,U9=Sheet1!$C$125),"Yes","No"),"No"))</f>
        <v>Yes</v>
      </c>
      <c r="T9" s="50" t="str">
        <f t="shared" si="0"/>
        <v>Africa</v>
      </c>
      <c r="U9" s="50" t="str">
        <f t="shared" si="1"/>
        <v>Asia Pacific</v>
      </c>
      <c r="X9" s="53" t="s">
        <v>103</v>
      </c>
      <c r="Y9" s="53" t="s">
        <v>103</v>
      </c>
    </row>
    <row r="10" spans="1:25" s="398" customFormat="1" ht="12.75">
      <c r="A10" s="394" t="s">
        <v>158</v>
      </c>
      <c r="B10" s="53" t="s">
        <v>153</v>
      </c>
      <c r="C10" s="395" t="s">
        <v>153</v>
      </c>
      <c r="D10" s="395">
        <v>2011</v>
      </c>
      <c r="E10" s="395" t="s">
        <v>204</v>
      </c>
      <c r="F10" s="396"/>
      <c r="G10" s="396"/>
      <c r="H10" s="391">
        <v>23.53954302410257</v>
      </c>
      <c r="I10" s="391">
        <v>25.662054048587148</v>
      </c>
      <c r="J10" s="391">
        <v>26.87470739852119</v>
      </c>
      <c r="K10" s="391">
        <v>26.64960697111888</v>
      </c>
      <c r="L10" s="391">
        <v>28.182735727062973</v>
      </c>
      <c r="M10" s="391">
        <v>29.675205908849104</v>
      </c>
      <c r="N10" s="391">
        <v>32.29304360166759</v>
      </c>
      <c r="O10" s="391">
        <v>29.797370305853896</v>
      </c>
      <c r="P10" s="422">
        <v>32.389642281340144</v>
      </c>
      <c r="Q10" s="422">
        <v>84.94592833168048</v>
      </c>
      <c r="R10" s="397">
        <v>5.340760413789281</v>
      </c>
      <c r="S10" s="50" t="str">
        <f>IF('Region summary'!$B$5="World","Yes",IF(AND(D10=Sheet1!$F$114,'Traffic data for database'!E56=Forecast_timeframe),IF(OR(B10=Sheet1!$C$125,C10=Sheet1!$C$125,T10=Sheet1!$C$125,U10=Sheet1!$C$125),"Yes","No"),"No"))</f>
        <v>Yes</v>
      </c>
      <c r="T10" s="50" t="str">
        <f t="shared" si="0"/>
        <v>Latin America</v>
      </c>
      <c r="U10" s="50" t="str">
        <f t="shared" si="1"/>
        <v>Latin America</v>
      </c>
      <c r="X10" s="53" t="s">
        <v>101</v>
      </c>
      <c r="Y10" s="53" t="s">
        <v>101</v>
      </c>
    </row>
    <row r="11" spans="1:25" ht="12.75">
      <c r="A11" s="119" t="s">
        <v>159</v>
      </c>
      <c r="B11" s="53" t="s">
        <v>153</v>
      </c>
      <c r="C11" s="48" t="s">
        <v>102</v>
      </c>
      <c r="D11" s="48">
        <v>2011</v>
      </c>
      <c r="E11" s="48" t="s">
        <v>204</v>
      </c>
      <c r="F11" s="391"/>
      <c r="G11" s="391"/>
      <c r="H11" s="391">
        <v>55.447890820500874</v>
      </c>
      <c r="I11" s="391">
        <v>57.442230309022385</v>
      </c>
      <c r="J11" s="391">
        <v>63.713796370461324</v>
      </c>
      <c r="K11" s="391">
        <v>67.04870904689857</v>
      </c>
      <c r="L11" s="391">
        <v>74.14699178901645</v>
      </c>
      <c r="M11" s="391">
        <v>80.70715318592974</v>
      </c>
      <c r="N11" s="391">
        <v>83.29337825269977</v>
      </c>
      <c r="O11" s="391">
        <v>77.07782277686196</v>
      </c>
      <c r="P11" s="422">
        <v>74.9108919152072</v>
      </c>
      <c r="Q11" s="422">
        <v>177.6095917022379</v>
      </c>
      <c r="R11" s="393">
        <v>4.4458800904605855</v>
      </c>
      <c r="S11" s="50" t="str">
        <f>IF('Region summary'!$B$5="World","Yes",IF(AND(D11=Sheet1!$F$114,'Traffic data for database'!E57=Forecast_timeframe),IF(OR(B11=Sheet1!$C$125,C11=Sheet1!$C$125,T11=Sheet1!$C$125,U11=Sheet1!$C$125),"Yes","No"),"No"))</f>
        <v>Yes</v>
      </c>
      <c r="T11" s="50" t="str">
        <f t="shared" si="0"/>
        <v>Latin America</v>
      </c>
      <c r="U11" s="50" t="str">
        <f t="shared" si="1"/>
        <v>Europe</v>
      </c>
      <c r="X11" s="53" t="s">
        <v>110</v>
      </c>
      <c r="Y11" s="53" t="s">
        <v>483</v>
      </c>
    </row>
    <row r="12" spans="1:25" ht="12.75">
      <c r="A12" s="119" t="s">
        <v>160</v>
      </c>
      <c r="B12" s="53" t="s">
        <v>153</v>
      </c>
      <c r="C12" s="48" t="s">
        <v>101</v>
      </c>
      <c r="D12" s="48">
        <v>2011</v>
      </c>
      <c r="E12" s="48" t="s">
        <v>204</v>
      </c>
      <c r="F12" s="391"/>
      <c r="G12" s="391"/>
      <c r="H12" s="391">
        <v>76.49493256937313</v>
      </c>
      <c r="I12" s="391">
        <v>79.93308497566309</v>
      </c>
      <c r="J12" s="391">
        <v>92.88896301334698</v>
      </c>
      <c r="K12" s="391">
        <v>100.5945682579375</v>
      </c>
      <c r="L12" s="391">
        <v>104.9942388242721</v>
      </c>
      <c r="M12" s="391">
        <v>106.82846681354962</v>
      </c>
      <c r="N12" s="391">
        <v>115.76848920578348</v>
      </c>
      <c r="O12" s="391">
        <v>104.6688655164181</v>
      </c>
      <c r="P12" s="422">
        <v>111.67863934270287</v>
      </c>
      <c r="Q12" s="422">
        <v>249.66107217861878</v>
      </c>
      <c r="R12" s="393">
        <v>4.139514394472865</v>
      </c>
      <c r="S12" s="50" t="str">
        <f>IF('Region summary'!$B$5="World","Yes",IF(AND(D12=Sheet1!$F$114,'Traffic data for database'!E58=Forecast_timeframe),IF(OR(B12=Sheet1!$C$125,C12=Sheet1!$C$125,T12=Sheet1!$C$125,U12=Sheet1!$C$125),"Yes","No"),"No"))</f>
        <v>Yes</v>
      </c>
      <c r="T12" s="50" t="str">
        <f t="shared" si="0"/>
        <v>Latin America</v>
      </c>
      <c r="U12" s="50" t="str">
        <f t="shared" si="1"/>
        <v>North America</v>
      </c>
      <c r="X12" s="53" t="s">
        <v>109</v>
      </c>
      <c r="Y12" s="53" t="s">
        <v>483</v>
      </c>
    </row>
    <row r="13" spans="1:25" s="398" customFormat="1" ht="12.75">
      <c r="A13" s="119" t="s">
        <v>162</v>
      </c>
      <c r="B13" s="53" t="s">
        <v>153</v>
      </c>
      <c r="C13" s="395" t="s">
        <v>163</v>
      </c>
      <c r="D13" s="395">
        <v>2011</v>
      </c>
      <c r="E13" s="395" t="s">
        <v>204</v>
      </c>
      <c r="F13" s="396"/>
      <c r="G13" s="396"/>
      <c r="H13" s="391">
        <v>7.141629004730331</v>
      </c>
      <c r="I13" s="391">
        <v>7.095272029511192</v>
      </c>
      <c r="J13" s="391">
        <v>9.382575941595732</v>
      </c>
      <c r="K13" s="391">
        <v>10.221465493280721</v>
      </c>
      <c r="L13" s="391">
        <v>10.333063870657845</v>
      </c>
      <c r="M13" s="391">
        <v>11.013808842489361</v>
      </c>
      <c r="N13" s="391">
        <v>13.08312221175063</v>
      </c>
      <c r="O13" s="391">
        <v>13.970806486857544</v>
      </c>
      <c r="P13" s="422">
        <v>17.949400487627983</v>
      </c>
      <c r="Q13" s="422">
        <v>75.86721800516321</v>
      </c>
      <c r="R13" s="397">
        <v>6.105745478723623</v>
      </c>
      <c r="S13" s="50" t="str">
        <f>IF('Region summary'!$B$5="World","Yes",IF(AND(D13=Sheet1!$F$114,'Traffic data for database'!E59=Forecast_timeframe),IF(OR(B13=Sheet1!$C$125,C13=Sheet1!$C$125,T13=Sheet1!$C$125,U13=Sheet1!$C$125),"Yes","No"),"No"))</f>
        <v>Yes</v>
      </c>
      <c r="T13" s="50" t="str">
        <f t="shared" si="0"/>
        <v>Latin America</v>
      </c>
      <c r="U13" s="50" t="str">
        <f t="shared" si="1"/>
        <v>Latin America</v>
      </c>
      <c r="X13" s="53" t="s">
        <v>161</v>
      </c>
      <c r="Y13" s="53" t="s">
        <v>161</v>
      </c>
    </row>
    <row r="14" spans="1:25" s="402" customFormat="1" ht="12.75">
      <c r="A14" s="399" t="s">
        <v>164</v>
      </c>
      <c r="B14" s="400" t="s">
        <v>108</v>
      </c>
      <c r="C14" s="400" t="s">
        <v>108</v>
      </c>
      <c r="D14" s="400">
        <v>2011</v>
      </c>
      <c r="E14" s="400" t="s">
        <v>204</v>
      </c>
      <c r="F14" s="392"/>
      <c r="G14" s="392"/>
      <c r="H14" s="391">
        <v>100.20727462279481</v>
      </c>
      <c r="I14" s="391">
        <v>105.10965175534852</v>
      </c>
      <c r="J14" s="391">
        <v>142.44658484862143</v>
      </c>
      <c r="K14" s="391">
        <v>164.2064181326608</v>
      </c>
      <c r="L14" s="391">
        <v>189.78622102161594</v>
      </c>
      <c r="M14" s="391">
        <v>223.11580020000002</v>
      </c>
      <c r="N14" s="391">
        <v>236.53385989999998</v>
      </c>
      <c r="O14" s="391">
        <v>287.3610907759881</v>
      </c>
      <c r="P14" s="422">
        <v>335.440094</v>
      </c>
      <c r="Q14" s="422">
        <v>1411.81</v>
      </c>
      <c r="R14" s="401">
        <v>7.8652003233823375</v>
      </c>
      <c r="S14" s="50" t="str">
        <f>IF('Region summary'!$B$5="World","Yes",IF(AND(D14=Sheet1!$F$114,'Traffic data for database'!E60=Forecast_timeframe),IF(OR(B14=Sheet1!$C$125,C14=Sheet1!$C$125,T14=Sheet1!$C$125,U14=Sheet1!$C$125),"Yes","No"),"No"))</f>
        <v>Yes</v>
      </c>
      <c r="T14" s="50" t="str">
        <f t="shared" si="0"/>
        <v>Asia Pacific</v>
      </c>
      <c r="U14" s="50" t="str">
        <f t="shared" si="1"/>
        <v>Asia Pacific</v>
      </c>
      <c r="X14" s="53" t="s">
        <v>57</v>
      </c>
      <c r="Y14" s="53" t="s">
        <v>57</v>
      </c>
    </row>
    <row r="15" spans="1:25" ht="12.75">
      <c r="A15" s="350" t="s">
        <v>165</v>
      </c>
      <c r="B15" s="48" t="s">
        <v>108</v>
      </c>
      <c r="C15" s="48" t="s">
        <v>102</v>
      </c>
      <c r="D15" s="48">
        <v>2011</v>
      </c>
      <c r="E15" s="48" t="s">
        <v>204</v>
      </c>
      <c r="F15" s="391"/>
      <c r="G15" s="391"/>
      <c r="H15" s="391">
        <v>41.05407280424063</v>
      </c>
      <c r="I15" s="391">
        <v>36.18281642521868</v>
      </c>
      <c r="J15" s="391">
        <v>55.2209752950506</v>
      </c>
      <c r="K15" s="391">
        <v>63.102486780396696</v>
      </c>
      <c r="L15" s="391">
        <v>75.27063049979711</v>
      </c>
      <c r="M15" s="391">
        <v>91.03347985830406</v>
      </c>
      <c r="N15" s="391">
        <v>82.5220300237579</v>
      </c>
      <c r="O15" s="391">
        <v>77.32713863005219</v>
      </c>
      <c r="P15" s="422">
        <v>82.38100077095103</v>
      </c>
      <c r="Q15" s="422">
        <v>340.3898060357486</v>
      </c>
      <c r="R15" s="393">
        <v>7.208011213300236</v>
      </c>
      <c r="S15" s="50" t="str">
        <f>IF('Region summary'!$B$5="World","Yes",IF(AND(D15=Sheet1!$F$114,'Traffic data for database'!E61=Forecast_timeframe),IF(OR(B15=Sheet1!$C$125,C15=Sheet1!$C$125,T15=Sheet1!$C$125,U15=Sheet1!$C$125),"Yes","No"),"No"))</f>
        <v>Yes</v>
      </c>
      <c r="T15" s="50" t="str">
        <f t="shared" si="0"/>
        <v>Asia Pacific</v>
      </c>
      <c r="U15" s="50" t="str">
        <f t="shared" si="1"/>
        <v>Europe</v>
      </c>
      <c r="X15" s="53" t="s">
        <v>163</v>
      </c>
      <c r="Y15" s="53" t="s">
        <v>104</v>
      </c>
    </row>
    <row r="16" spans="1:25" ht="12.75">
      <c r="A16" s="350" t="s">
        <v>166</v>
      </c>
      <c r="B16" s="48" t="s">
        <v>108</v>
      </c>
      <c r="C16" s="48" t="s">
        <v>101</v>
      </c>
      <c r="D16" s="48">
        <v>2011</v>
      </c>
      <c r="E16" s="48" t="s">
        <v>204</v>
      </c>
      <c r="F16" s="391"/>
      <c r="G16" s="391"/>
      <c r="H16" s="391">
        <v>33.418167901510365</v>
      </c>
      <c r="I16" s="391">
        <v>24.66375370032905</v>
      </c>
      <c r="J16" s="391">
        <v>38.50516560239974</v>
      </c>
      <c r="K16" s="391">
        <v>48.1421869304278</v>
      </c>
      <c r="L16" s="391">
        <v>51.43625266101276</v>
      </c>
      <c r="M16" s="391">
        <v>54.52287609528979</v>
      </c>
      <c r="N16" s="391">
        <v>62.698036905404805</v>
      </c>
      <c r="O16" s="391">
        <v>60.880879467200316</v>
      </c>
      <c r="P16" s="422">
        <v>71.17612927204532</v>
      </c>
      <c r="Q16" s="422">
        <v>265.3</v>
      </c>
      <c r="R16" s="393">
        <v>6.066799213484497</v>
      </c>
      <c r="S16" s="50" t="str">
        <f>IF('Region summary'!$B$5="World","Yes",IF(AND(D16=Sheet1!$F$114,'Traffic data for database'!E62=Forecast_timeframe),IF(OR(B16=Sheet1!$C$125,C16=Sheet1!$C$125,T16=Sheet1!$C$125,U16=Sheet1!$C$125),"Yes","No"),"No"))</f>
        <v>Yes</v>
      </c>
      <c r="T16" s="50" t="str">
        <f t="shared" si="0"/>
        <v>Asia Pacific</v>
      </c>
      <c r="U16" s="50" t="str">
        <f t="shared" si="1"/>
        <v>North America</v>
      </c>
      <c r="X16" s="53" t="s">
        <v>111</v>
      </c>
      <c r="Y16" s="53" t="s">
        <v>483</v>
      </c>
    </row>
    <row r="17" spans="1:25" s="402" customFormat="1" ht="12.75">
      <c r="A17" s="350" t="s">
        <v>167</v>
      </c>
      <c r="B17" s="400" t="s">
        <v>108</v>
      </c>
      <c r="C17" s="400" t="s">
        <v>110</v>
      </c>
      <c r="D17" s="400">
        <v>2011</v>
      </c>
      <c r="E17" s="400" t="s">
        <v>204</v>
      </c>
      <c r="F17" s="392"/>
      <c r="G17" s="392"/>
      <c r="H17" s="391">
        <v>27.8816514728549</v>
      </c>
      <c r="I17" s="391">
        <v>22.459617982839287</v>
      </c>
      <c r="J17" s="391">
        <v>29.00812353683337</v>
      </c>
      <c r="K17" s="391">
        <v>31.79250621165367</v>
      </c>
      <c r="L17" s="391">
        <v>34.05116015108841</v>
      </c>
      <c r="M17" s="391">
        <v>34.65151657649457</v>
      </c>
      <c r="N17" s="391">
        <v>40.489635186228526</v>
      </c>
      <c r="O17" s="391">
        <v>34.75470979327949</v>
      </c>
      <c r="P17" s="422">
        <v>38.33009238880825</v>
      </c>
      <c r="Q17" s="422">
        <v>166.10487327478137</v>
      </c>
      <c r="R17" s="401">
        <v>6.983724974768424</v>
      </c>
      <c r="S17" s="50" t="str">
        <f>IF('Region summary'!$B$5="World","Yes",IF(AND(D17=Sheet1!$F$114,'Traffic data for database'!E63=Forecast_timeframe),IF(OR(B17=Sheet1!$C$125,C17=Sheet1!$C$125,T17=Sheet1!$C$125,U17=Sheet1!$C$125),"Yes","No"),"No"))</f>
        <v>Yes</v>
      </c>
      <c r="T17" s="50" t="str">
        <f t="shared" si="0"/>
        <v>Asia Pacific</v>
      </c>
      <c r="U17" s="50" t="str">
        <f t="shared" si="1"/>
        <v>Asia Pacific</v>
      </c>
      <c r="X17" s="53" t="s">
        <v>649</v>
      </c>
      <c r="Y17" s="53" t="s">
        <v>483</v>
      </c>
    </row>
    <row r="18" spans="1:25" s="402" customFormat="1" ht="12.75">
      <c r="A18" s="350" t="s">
        <v>214</v>
      </c>
      <c r="B18" s="400" t="s">
        <v>108</v>
      </c>
      <c r="C18" s="400" t="s">
        <v>109</v>
      </c>
      <c r="D18" s="400">
        <v>2011</v>
      </c>
      <c r="E18" s="400" t="s">
        <v>204</v>
      </c>
      <c r="F18" s="392"/>
      <c r="G18" s="392"/>
      <c r="H18" s="391">
        <v>11.801928825051514</v>
      </c>
      <c r="I18" s="391">
        <v>10.278539249002643</v>
      </c>
      <c r="J18" s="391">
        <v>15.361137791279246</v>
      </c>
      <c r="K18" s="391">
        <v>17.554814110491996</v>
      </c>
      <c r="L18" s="391">
        <v>19.263726838363084</v>
      </c>
      <c r="M18" s="391">
        <v>19.403792959979988</v>
      </c>
      <c r="N18" s="391">
        <v>21.373657528051943</v>
      </c>
      <c r="O18" s="391">
        <v>22.787977807444776</v>
      </c>
      <c r="P18" s="422">
        <v>27.734524910000346</v>
      </c>
      <c r="Q18" s="422">
        <v>110.26</v>
      </c>
      <c r="R18" s="401">
        <v>6.428093884986175</v>
      </c>
      <c r="S18" s="50" t="str">
        <f>IF('Region summary'!$B$5="World","Yes",IF(AND(D18=Sheet1!$F$114,'Traffic data for database'!E64=Forecast_timeframe),IF(OR(B18=Sheet1!$C$125,C18=Sheet1!$C$125,T18=Sheet1!$C$125,U18=Sheet1!$C$125),"Yes","No"),"No"))</f>
        <v>Yes</v>
      </c>
      <c r="T18" s="50" t="str">
        <f t="shared" si="0"/>
        <v>Asia Pacific</v>
      </c>
      <c r="U18" s="50" t="str">
        <f t="shared" si="1"/>
        <v>Asia Pacific</v>
      </c>
      <c r="X18" s="53" t="s">
        <v>210</v>
      </c>
      <c r="Y18" s="53" t="s">
        <v>101</v>
      </c>
    </row>
    <row r="19" spans="1:25" s="402" customFormat="1" ht="12.75">
      <c r="A19" s="350" t="s">
        <v>169</v>
      </c>
      <c r="B19" s="400" t="s">
        <v>108</v>
      </c>
      <c r="C19" s="400" t="s">
        <v>111</v>
      </c>
      <c r="D19" s="400">
        <v>2011</v>
      </c>
      <c r="E19" s="400" t="s">
        <v>204</v>
      </c>
      <c r="F19" s="392"/>
      <c r="G19" s="392"/>
      <c r="H19" s="391">
        <v>43.31840960907652</v>
      </c>
      <c r="I19" s="391">
        <v>36.182313897879204</v>
      </c>
      <c r="J19" s="391">
        <v>49.235206094402976</v>
      </c>
      <c r="K19" s="391">
        <v>55.8745662521389</v>
      </c>
      <c r="L19" s="391">
        <v>52.936921137610945</v>
      </c>
      <c r="M19" s="391">
        <v>57.46610590526096</v>
      </c>
      <c r="N19" s="391">
        <v>58.741415779611316</v>
      </c>
      <c r="O19" s="391">
        <v>53.95317149434556</v>
      </c>
      <c r="P19" s="422">
        <v>65.6964148810183</v>
      </c>
      <c r="Q19" s="422">
        <v>322.4569884777229</v>
      </c>
      <c r="R19" s="401">
        <v>8.17399709977149</v>
      </c>
      <c r="S19" s="50" t="str">
        <f>IF('Region summary'!$B$5="World","Yes",IF(AND(D19=Sheet1!$F$114,'Traffic data for database'!E65=Forecast_timeframe),IF(OR(B19=Sheet1!$C$125,C19=Sheet1!$C$125,T19=Sheet1!$C$125,U19=Sheet1!$C$125),"Yes","No"),"No"))</f>
        <v>Yes</v>
      </c>
      <c r="T19" s="50" t="str">
        <f t="shared" si="0"/>
        <v>Asia Pacific</v>
      </c>
      <c r="U19" s="50" t="str">
        <f t="shared" si="1"/>
        <v>Asia Pacific</v>
      </c>
      <c r="X19" s="53" t="s">
        <v>209</v>
      </c>
      <c r="Y19" s="53" t="s">
        <v>101</v>
      </c>
    </row>
    <row r="20" spans="1:25" ht="12.75">
      <c r="A20" s="119" t="s">
        <v>12</v>
      </c>
      <c r="B20" s="53" t="s">
        <v>57</v>
      </c>
      <c r="C20" s="53" t="s">
        <v>57</v>
      </c>
      <c r="D20" s="48">
        <v>2011</v>
      </c>
      <c r="E20" s="48" t="s">
        <v>204</v>
      </c>
      <c r="F20" s="391"/>
      <c r="G20" s="391"/>
      <c r="H20" s="391">
        <v>46.942</v>
      </c>
      <c r="I20" s="391">
        <v>50.228</v>
      </c>
      <c r="J20" s="391">
        <v>54.749</v>
      </c>
      <c r="K20" s="391">
        <v>55.953</v>
      </c>
      <c r="L20" s="391">
        <v>57.347857015073416</v>
      </c>
      <c r="M20" s="391">
        <v>57.71724433946208</v>
      </c>
      <c r="N20" s="391">
        <v>61.23289354083867</v>
      </c>
      <c r="O20" s="391">
        <v>48.97971081927359</v>
      </c>
      <c r="P20" s="422">
        <v>52.89808768481548</v>
      </c>
      <c r="Q20" s="422">
        <v>134.56367940423203</v>
      </c>
      <c r="R20" s="393">
        <v>4.162500265933167</v>
      </c>
      <c r="S20" s="50" t="str">
        <f>IF('Region summary'!$B$5="World","Yes",IF(AND(D20=Sheet1!$F$114,'Traffic data for database'!E66=Forecast_timeframe),IF(OR(B20=Sheet1!$C$125,C20=Sheet1!$C$125,T20=Sheet1!$C$125,U20=Sheet1!$C$125),"Yes","No"),"No"))</f>
        <v>Yes</v>
      </c>
      <c r="T20" s="50" t="str">
        <f t="shared" si="0"/>
        <v>C.I.S.</v>
      </c>
      <c r="U20" s="50" t="str">
        <f t="shared" si="1"/>
        <v>C.I.S.</v>
      </c>
      <c r="X20" s="53" t="s">
        <v>483</v>
      </c>
      <c r="Y20" s="53" t="s">
        <v>483</v>
      </c>
    </row>
    <row r="21" spans="1:25" ht="12.75">
      <c r="A21" s="119" t="s">
        <v>13</v>
      </c>
      <c r="B21" s="53" t="s">
        <v>57</v>
      </c>
      <c r="C21" s="48" t="s">
        <v>171</v>
      </c>
      <c r="D21" s="48">
        <v>2011</v>
      </c>
      <c r="E21" s="48" t="s">
        <v>204</v>
      </c>
      <c r="F21" s="391"/>
      <c r="G21" s="391"/>
      <c r="H21" s="391">
        <v>39.71581140821023</v>
      </c>
      <c r="I21" s="391">
        <v>43.817522375494654</v>
      </c>
      <c r="J21" s="391">
        <v>53.862076527966046</v>
      </c>
      <c r="K21" s="391">
        <v>58.065972770489175</v>
      </c>
      <c r="L21" s="391">
        <v>63.66147197203445</v>
      </c>
      <c r="M21" s="391">
        <v>81.23972086103512</v>
      </c>
      <c r="N21" s="391">
        <v>76.1698145742673</v>
      </c>
      <c r="O21" s="391">
        <v>83.72471370184483</v>
      </c>
      <c r="P21" s="422">
        <v>99.89086468103142</v>
      </c>
      <c r="Q21" s="422">
        <v>214.67990033920793</v>
      </c>
      <c r="R21" s="393">
        <v>4.476249416245026</v>
      </c>
      <c r="S21" s="50" t="str">
        <f>IF('Region summary'!$B$5="World","Yes",IF(AND(D21=Sheet1!$F$114,'Traffic data for database'!E67=Forecast_timeframe),IF(OR(B21=Sheet1!$C$125,C21=Sheet1!$C$125,T21=Sheet1!$C$125,U21=Sheet1!$C$125),"Yes","No"),"No"))</f>
        <v>Yes</v>
      </c>
      <c r="T21" s="50" t="str">
        <f t="shared" si="0"/>
        <v>C.I.S.</v>
      </c>
      <c r="U21" s="50" t="str">
        <f t="shared" si="1"/>
        <v>International</v>
      </c>
      <c r="X21" s="53" t="s">
        <v>104</v>
      </c>
      <c r="Y21" s="53" t="s">
        <v>104</v>
      </c>
    </row>
    <row r="22" spans="1:25" ht="12.75">
      <c r="A22" s="119" t="s">
        <v>172</v>
      </c>
      <c r="B22" s="48" t="s">
        <v>102</v>
      </c>
      <c r="C22" s="48" t="s">
        <v>102</v>
      </c>
      <c r="D22" s="48">
        <v>2011</v>
      </c>
      <c r="E22" s="48" t="s">
        <v>204</v>
      </c>
      <c r="F22" s="391"/>
      <c r="G22" s="391"/>
      <c r="H22" s="391">
        <v>453.799</v>
      </c>
      <c r="I22" s="391">
        <v>474.7</v>
      </c>
      <c r="J22" s="391">
        <v>521.221</v>
      </c>
      <c r="K22" s="391">
        <v>561.876</v>
      </c>
      <c r="L22" s="391">
        <v>593.3216850078251</v>
      </c>
      <c r="M22" s="391">
        <v>634.2140393719126</v>
      </c>
      <c r="N22" s="391">
        <v>660.5464567666253</v>
      </c>
      <c r="O22" s="391">
        <v>624.9227740997529</v>
      </c>
      <c r="P22" s="422">
        <v>644.133413598509</v>
      </c>
      <c r="Q22" s="422">
        <v>1412.35</v>
      </c>
      <c r="R22" s="393">
        <v>3.4702519525635855</v>
      </c>
      <c r="S22" s="50" t="str">
        <f>IF('Region summary'!$B$5="World","Yes",IF(AND(D22=Sheet1!$F$114,'Traffic data for database'!E68=Forecast_timeframe),IF(OR(B22=Sheet1!$C$125,C22=Sheet1!$C$125,T22=Sheet1!$C$125,U22=Sheet1!$C$125),"Yes","No"),"No"))</f>
        <v>Yes</v>
      </c>
      <c r="T22" s="50" t="str">
        <f t="shared" si="0"/>
        <v>Europe</v>
      </c>
      <c r="U22" s="50" t="str">
        <f t="shared" si="1"/>
        <v>Europe</v>
      </c>
      <c r="X22" s="53" t="s">
        <v>171</v>
      </c>
      <c r="Y22" s="53" t="s">
        <v>171</v>
      </c>
    </row>
    <row r="23" spans="1:25" ht="12.75">
      <c r="A23" s="350" t="s">
        <v>173</v>
      </c>
      <c r="B23" s="48" t="s">
        <v>102</v>
      </c>
      <c r="C23" s="48" t="s">
        <v>103</v>
      </c>
      <c r="D23" s="48">
        <v>2011</v>
      </c>
      <c r="E23" s="48" t="s">
        <v>204</v>
      </c>
      <c r="F23" s="391"/>
      <c r="G23" s="391"/>
      <c r="H23" s="391">
        <v>71.35729863038176</v>
      </c>
      <c r="I23" s="391">
        <v>72.38796480778224</v>
      </c>
      <c r="J23" s="391">
        <v>79.85010540940452</v>
      </c>
      <c r="K23" s="391">
        <v>87.2800364941681</v>
      </c>
      <c r="L23" s="391">
        <v>99.18410969823724</v>
      </c>
      <c r="M23" s="391">
        <v>106.59329763454298</v>
      </c>
      <c r="N23" s="391">
        <v>115.15353765186275</v>
      </c>
      <c r="O23" s="391">
        <v>131.1603889149959</v>
      </c>
      <c r="P23" s="422">
        <v>143.66550671058886</v>
      </c>
      <c r="Q23" s="422">
        <v>413.05317273598564</v>
      </c>
      <c r="R23" s="393">
        <v>5.458255176702731</v>
      </c>
      <c r="S23" s="50" t="str">
        <f>IF('Region summary'!$B$5="World","Yes",IF(AND(D23=Sheet1!$F$114,'Traffic data for database'!E69=Forecast_timeframe),IF(OR(B23=Sheet1!$C$125,C23=Sheet1!$C$125,T23=Sheet1!$C$125,U23=Sheet1!$C$125),"Yes","No"),"No"))</f>
        <v>Yes</v>
      </c>
      <c r="T23" s="50" t="str">
        <f t="shared" si="0"/>
        <v>Europe</v>
      </c>
      <c r="U23" s="50" t="str">
        <f t="shared" si="1"/>
        <v>Middle East</v>
      </c>
      <c r="X23" s="53" t="s">
        <v>168</v>
      </c>
      <c r="Y23" s="53" t="s">
        <v>100</v>
      </c>
    </row>
    <row r="24" spans="1:21" ht="12.75">
      <c r="A24" s="350" t="s">
        <v>174</v>
      </c>
      <c r="B24" s="48" t="s">
        <v>102</v>
      </c>
      <c r="C24" s="48" t="s">
        <v>101</v>
      </c>
      <c r="D24" s="48">
        <v>2011</v>
      </c>
      <c r="E24" s="48" t="s">
        <v>204</v>
      </c>
      <c r="F24" s="391"/>
      <c r="G24" s="391"/>
      <c r="H24" s="391">
        <v>345.955</v>
      </c>
      <c r="I24" s="391">
        <v>349.471</v>
      </c>
      <c r="J24" s="391">
        <v>375.681</v>
      </c>
      <c r="K24" s="391">
        <v>390.708</v>
      </c>
      <c r="L24" s="391">
        <v>403.37463828329436</v>
      </c>
      <c r="M24" s="391">
        <v>420.6086177733024</v>
      </c>
      <c r="N24" s="391">
        <v>432.3757429542293</v>
      </c>
      <c r="O24" s="391">
        <v>405.40065524713987</v>
      </c>
      <c r="P24" s="422">
        <v>423.7829040449189</v>
      </c>
      <c r="Q24" s="422">
        <v>862.9823923075515</v>
      </c>
      <c r="R24" s="393">
        <v>3.6545609973686055</v>
      </c>
      <c r="S24" s="50" t="str">
        <f>IF('Region summary'!$B$5="World","Yes",IF(AND(D24=Sheet1!$F$114,'Traffic data for database'!E70=Forecast_timeframe),IF(OR(B24=Sheet1!$C$125,C24=Sheet1!$C$125,T24=Sheet1!$C$125,U24=Sheet1!$C$125),"Yes","No"),"No"))</f>
        <v>Yes</v>
      </c>
      <c r="T24" s="50" t="str">
        <f t="shared" si="0"/>
        <v>Europe</v>
      </c>
      <c r="U24" s="50" t="str">
        <f t="shared" si="1"/>
        <v>North America</v>
      </c>
    </row>
    <row r="25" spans="1:21" ht="12.75">
      <c r="A25" s="350" t="s">
        <v>175</v>
      </c>
      <c r="B25" s="48" t="s">
        <v>102</v>
      </c>
      <c r="C25" s="48" t="s">
        <v>110</v>
      </c>
      <c r="D25" s="48">
        <v>2011</v>
      </c>
      <c r="E25" s="48" t="s">
        <v>204</v>
      </c>
      <c r="F25" s="391"/>
      <c r="G25" s="391"/>
      <c r="H25" s="391">
        <v>56.928263573352794</v>
      </c>
      <c r="I25" s="391">
        <v>53.8595478743986</v>
      </c>
      <c r="J25" s="391">
        <v>58.485969876299514</v>
      </c>
      <c r="K25" s="391">
        <v>58.182548625936995</v>
      </c>
      <c r="L25" s="391">
        <v>58.7773639540798</v>
      </c>
      <c r="M25" s="391">
        <v>64.72624978130808</v>
      </c>
      <c r="N25" s="391">
        <v>66.16444048936033</v>
      </c>
      <c r="O25" s="391">
        <v>56.91473626944055</v>
      </c>
      <c r="P25" s="422">
        <v>60.02763288571642</v>
      </c>
      <c r="Q25" s="422">
        <v>116.28237734694552</v>
      </c>
      <c r="R25" s="393">
        <v>3.486745084899856</v>
      </c>
      <c r="S25" s="50" t="str">
        <f>IF('Region summary'!$B$5="World","Yes",IF(AND(D25=Sheet1!$F$114,'Traffic data for database'!E71=Forecast_timeframe),IF(OR(B25=Sheet1!$C$125,C25=Sheet1!$C$125,T25=Sheet1!$C$125,U25=Sheet1!$C$125),"Yes","No"),"No"))</f>
        <v>Yes</v>
      </c>
      <c r="T25" s="50" t="str">
        <f t="shared" si="0"/>
        <v>Europe</v>
      </c>
      <c r="U25" s="50" t="str">
        <f t="shared" si="1"/>
        <v>Asia Pacific</v>
      </c>
    </row>
    <row r="26" spans="1:21" ht="12.75">
      <c r="A26" s="350" t="s">
        <v>176</v>
      </c>
      <c r="B26" s="48" t="s">
        <v>102</v>
      </c>
      <c r="C26" s="48" t="s">
        <v>163</v>
      </c>
      <c r="D26" s="48">
        <v>2011</v>
      </c>
      <c r="E26" s="48" t="s">
        <v>204</v>
      </c>
      <c r="F26" s="391"/>
      <c r="G26" s="391"/>
      <c r="H26" s="391">
        <v>50.0930157281135</v>
      </c>
      <c r="I26" s="391">
        <v>48.091384267822875</v>
      </c>
      <c r="J26" s="391">
        <v>54.97046961087781</v>
      </c>
      <c r="K26" s="391">
        <v>63.88557365195657</v>
      </c>
      <c r="L26" s="391">
        <v>67.36428600850067</v>
      </c>
      <c r="M26" s="391">
        <v>70.74710969806362</v>
      </c>
      <c r="N26" s="391">
        <v>75.16639756868686</v>
      </c>
      <c r="O26" s="391">
        <v>79.33940816436589</v>
      </c>
      <c r="P26" s="422">
        <v>81.85104922377269</v>
      </c>
      <c r="Q26" s="422">
        <v>220.92871430976933</v>
      </c>
      <c r="R26" s="393">
        <v>5.125493161384287</v>
      </c>
      <c r="S26" s="50" t="str">
        <f>IF('Region summary'!$B$5="World","Yes",IF(AND(D26=Sheet1!$F$114,'Traffic data for database'!E72=Forecast_timeframe),IF(OR(B26=Sheet1!$C$125,C26=Sheet1!$C$125,T26=Sheet1!$C$125,U26=Sheet1!$C$125),"Yes","No"),"No"))</f>
        <v>Yes</v>
      </c>
      <c r="T26" s="50" t="str">
        <f t="shared" si="0"/>
        <v>Europe</v>
      </c>
      <c r="U26" s="50" t="str">
        <f t="shared" si="1"/>
        <v>Latin America</v>
      </c>
    </row>
    <row r="27" spans="1:21" ht="12.75">
      <c r="A27" s="350" t="s">
        <v>177</v>
      </c>
      <c r="B27" s="48" t="s">
        <v>102</v>
      </c>
      <c r="C27" s="48" t="s">
        <v>111</v>
      </c>
      <c r="D27" s="48">
        <v>2011</v>
      </c>
      <c r="E27" s="48" t="s">
        <v>204</v>
      </c>
      <c r="F27" s="391"/>
      <c r="G27" s="391"/>
      <c r="H27" s="391">
        <v>96.31607411291175</v>
      </c>
      <c r="I27" s="391">
        <v>92.43806426246391</v>
      </c>
      <c r="J27" s="391">
        <v>100.69433223283693</v>
      </c>
      <c r="K27" s="391">
        <v>100.34799086823884</v>
      </c>
      <c r="L27" s="391">
        <v>97.58373692489167</v>
      </c>
      <c r="M27" s="391">
        <v>92.42117789946344</v>
      </c>
      <c r="N27" s="391">
        <v>99.98253302772405</v>
      </c>
      <c r="O27" s="391">
        <v>98.45870155028474</v>
      </c>
      <c r="P27" s="422">
        <v>100.12161888347417</v>
      </c>
      <c r="Q27" s="422">
        <v>273.8327718017406</v>
      </c>
      <c r="R27" s="393">
        <v>5.194983105796447</v>
      </c>
      <c r="S27" s="50" t="str">
        <f>IF('Region summary'!$B$5="World","Yes",IF(AND(D27=Sheet1!$F$114,'Traffic data for database'!E73=Forecast_timeframe),IF(OR(B27=Sheet1!$C$125,C27=Sheet1!$C$125,T27=Sheet1!$C$125,U27=Sheet1!$C$125),"Yes","No"),"No"))</f>
        <v>Yes</v>
      </c>
      <c r="T27" s="50" t="str">
        <f t="shared" si="0"/>
        <v>Europe</v>
      </c>
      <c r="U27" s="50" t="str">
        <f t="shared" si="1"/>
        <v>Asia Pacific</v>
      </c>
    </row>
    <row r="28" spans="1:21" ht="12.75">
      <c r="A28" s="350" t="s">
        <v>653</v>
      </c>
      <c r="B28" s="48" t="s">
        <v>102</v>
      </c>
      <c r="C28" s="48" t="s">
        <v>649</v>
      </c>
      <c r="D28" s="48">
        <v>2011</v>
      </c>
      <c r="E28" s="48" t="s">
        <v>204</v>
      </c>
      <c r="F28" s="391"/>
      <c r="G28" s="391"/>
      <c r="H28" s="391">
        <v>31.505567786556014</v>
      </c>
      <c r="I28" s="391">
        <v>33.21496765558738</v>
      </c>
      <c r="J28" s="391">
        <v>37.674368663665106</v>
      </c>
      <c r="K28" s="391">
        <v>43.416692458809415</v>
      </c>
      <c r="L28" s="391">
        <v>53.255437553717606</v>
      </c>
      <c r="M28" s="391">
        <v>58.50844411026603</v>
      </c>
      <c r="N28" s="391">
        <v>55.48457793192856</v>
      </c>
      <c r="O28" s="391">
        <v>51.2901736767294</v>
      </c>
      <c r="P28" s="422">
        <v>54.737146211968415</v>
      </c>
      <c r="Q28" s="422">
        <v>205.9377030680748</v>
      </c>
      <c r="R28" s="393">
        <v>7.471837726453834</v>
      </c>
      <c r="S28" s="50" t="str">
        <f>IF('Region summary'!$B$5="World","Yes",IF(AND(D28=Sheet1!$F$114,'Traffic data for database'!E74=Forecast_timeframe),IF(OR(B28=Sheet1!$C$125,C28=Sheet1!$C$125,T28=Sheet1!$C$125,U28=Sheet1!$C$125),"Yes","No"),"No"))</f>
        <v>Yes</v>
      </c>
      <c r="T28" s="50" t="str">
        <f t="shared" si="0"/>
        <v>Europe</v>
      </c>
      <c r="U28" s="50" t="str">
        <f t="shared" si="1"/>
        <v>Asia Pacific</v>
      </c>
    </row>
    <row r="29" spans="1:21" ht="12.75">
      <c r="A29" s="119" t="s">
        <v>178</v>
      </c>
      <c r="B29" s="48" t="s">
        <v>103</v>
      </c>
      <c r="C29" s="48" t="s">
        <v>103</v>
      </c>
      <c r="D29" s="48">
        <v>2011</v>
      </c>
      <c r="E29" s="48" t="s">
        <v>204</v>
      </c>
      <c r="F29" s="391"/>
      <c r="G29" s="391"/>
      <c r="H29" s="391">
        <v>33.13509582227812</v>
      </c>
      <c r="I29" s="391">
        <v>34.94670724155998</v>
      </c>
      <c r="J29" s="391">
        <v>40.831611550843746</v>
      </c>
      <c r="K29" s="391">
        <v>48.720100011125986</v>
      </c>
      <c r="L29" s="391">
        <v>53.67911301730273</v>
      </c>
      <c r="M29" s="391">
        <v>60.267899795179154</v>
      </c>
      <c r="N29" s="391">
        <v>63.365152658570146</v>
      </c>
      <c r="O29" s="391">
        <v>68.59308578061369</v>
      </c>
      <c r="P29" s="422">
        <v>77.04223583423256</v>
      </c>
      <c r="Q29" s="422">
        <v>205.28045741449964</v>
      </c>
      <c r="R29" s="393">
        <v>5.528997216939424</v>
      </c>
      <c r="S29" s="50" t="str">
        <f>IF('Region summary'!$B$5="World","Yes",IF(AND(D29=Sheet1!$F$114,'Traffic data for database'!E75=Forecast_timeframe),IF(OR(B29=Sheet1!$C$125,C29=Sheet1!$C$125,T29=Sheet1!$C$125,U29=Sheet1!$C$125),"Yes","No"),"No"))</f>
        <v>Yes</v>
      </c>
      <c r="T29" s="50" t="str">
        <f t="shared" si="0"/>
        <v>Middle East</v>
      </c>
      <c r="U29" s="50" t="str">
        <f t="shared" si="1"/>
        <v>Middle East</v>
      </c>
    </row>
    <row r="30" spans="1:21" ht="12.75">
      <c r="A30" s="119" t="s">
        <v>179</v>
      </c>
      <c r="B30" s="48" t="s">
        <v>103</v>
      </c>
      <c r="C30" s="48" t="s">
        <v>101</v>
      </c>
      <c r="D30" s="48">
        <v>2011</v>
      </c>
      <c r="E30" s="48" t="s">
        <v>204</v>
      </c>
      <c r="F30" s="391"/>
      <c r="G30" s="391"/>
      <c r="H30" s="391">
        <v>10.745318844040526</v>
      </c>
      <c r="I30" s="391">
        <v>12.951647487696395</v>
      </c>
      <c r="J30" s="391">
        <v>17.22672617482448</v>
      </c>
      <c r="K30" s="391">
        <v>16.080726542778955</v>
      </c>
      <c r="L30" s="391">
        <v>20.648271689384654</v>
      </c>
      <c r="M30" s="391">
        <v>23.440113505383692</v>
      </c>
      <c r="N30" s="391">
        <v>29.53583320992565</v>
      </c>
      <c r="O30" s="391">
        <v>41.56050583474906</v>
      </c>
      <c r="P30" s="422">
        <v>45.98368516973042</v>
      </c>
      <c r="Q30" s="422">
        <v>187.74078384381457</v>
      </c>
      <c r="R30" s="393">
        <v>7.323453712480021</v>
      </c>
      <c r="S30" s="50" t="str">
        <f>IF('Region summary'!$B$5="World","Yes",IF(AND(D30=Sheet1!$F$114,'Traffic data for database'!E76=Forecast_timeframe),IF(OR(B30=Sheet1!$C$125,C30=Sheet1!$C$125,T30=Sheet1!$C$125,U30=Sheet1!$C$125),"Yes","No"),"No"))</f>
        <v>Yes</v>
      </c>
      <c r="T30" s="50" t="str">
        <f t="shared" si="0"/>
        <v>Middle East</v>
      </c>
      <c r="U30" s="50" t="str">
        <f t="shared" si="1"/>
        <v>North America</v>
      </c>
    </row>
    <row r="31" spans="1:21" ht="12.75">
      <c r="A31" s="119" t="s">
        <v>180</v>
      </c>
      <c r="B31" s="48" t="s">
        <v>103</v>
      </c>
      <c r="C31" s="48" t="s">
        <v>111</v>
      </c>
      <c r="D31" s="48">
        <v>2011</v>
      </c>
      <c r="E31" s="48" t="s">
        <v>204</v>
      </c>
      <c r="F31" s="391"/>
      <c r="G31" s="391"/>
      <c r="H31" s="391">
        <v>23.705774732607626</v>
      </c>
      <c r="I31" s="391">
        <v>22.579620551545403</v>
      </c>
      <c r="J31" s="391">
        <v>26.379624334564326</v>
      </c>
      <c r="K31" s="391">
        <v>29.45681998472697</v>
      </c>
      <c r="L31" s="391">
        <v>33.79091868448938</v>
      </c>
      <c r="M31" s="391">
        <v>38.74496721762744</v>
      </c>
      <c r="N31" s="391">
        <v>43.14117435061649</v>
      </c>
      <c r="O31" s="391">
        <v>46.65934576301279</v>
      </c>
      <c r="P31" s="422">
        <v>55.936887599174476</v>
      </c>
      <c r="Q31" s="422">
        <v>204.84589683821878</v>
      </c>
      <c r="R31" s="393">
        <v>6.7420348079618275</v>
      </c>
      <c r="S31" s="50" t="str">
        <f>IF('Region summary'!$B$5="World","Yes",IF(AND(D31=Sheet1!$F$114,'Traffic data for database'!E77=Forecast_timeframe),IF(OR(B31=Sheet1!$C$125,C31=Sheet1!$C$125,T31=Sheet1!$C$125,U31=Sheet1!$C$125),"Yes","No"),"No"))</f>
        <v>Yes</v>
      </c>
      <c r="T31" s="50" t="str">
        <f t="shared" si="0"/>
        <v>Middle East</v>
      </c>
      <c r="U31" s="50" t="str">
        <f t="shared" si="1"/>
        <v>Asia Pacific</v>
      </c>
    </row>
    <row r="32" spans="1:21" ht="12.75">
      <c r="A32" s="119" t="s">
        <v>654</v>
      </c>
      <c r="B32" s="48" t="s">
        <v>103</v>
      </c>
      <c r="C32" s="48" t="s">
        <v>649</v>
      </c>
      <c r="D32" s="48">
        <v>2011</v>
      </c>
      <c r="E32" s="48" t="s">
        <v>204</v>
      </c>
      <c r="F32" s="391"/>
      <c r="G32" s="391"/>
      <c r="H32" s="391">
        <v>30.68089503638973</v>
      </c>
      <c r="I32" s="391">
        <v>32.80185261401043</v>
      </c>
      <c r="J32" s="391">
        <v>34.33577973395771</v>
      </c>
      <c r="K32" s="391">
        <v>36.05943991171085</v>
      </c>
      <c r="L32" s="391">
        <v>41.965921796807926</v>
      </c>
      <c r="M32" s="391">
        <v>46.4943381591965</v>
      </c>
      <c r="N32" s="391">
        <v>49.459495245098545</v>
      </c>
      <c r="O32" s="391">
        <v>64.81415180180927</v>
      </c>
      <c r="P32" s="422">
        <v>74.94476880365505</v>
      </c>
      <c r="Q32" s="422">
        <v>289.9539866165176</v>
      </c>
      <c r="R32" s="393">
        <v>7.557242349929494</v>
      </c>
      <c r="S32" s="50" t="str">
        <f>IF('Region summary'!$B$5="World","Yes",IF(AND(D32=Sheet1!$F$114,'Traffic data for database'!E78=Forecast_timeframe),IF(OR(B32=Sheet1!$C$125,C32=Sheet1!$C$125,T32=Sheet1!$C$125,U32=Sheet1!$C$125),"Yes","No"),"No"))</f>
        <v>Yes</v>
      </c>
      <c r="T32" s="50" t="str">
        <f t="shared" si="0"/>
        <v>Middle East</v>
      </c>
      <c r="U32" s="50" t="str">
        <f t="shared" si="1"/>
        <v>Asia Pacific</v>
      </c>
    </row>
    <row r="33" spans="1:21" ht="12.75">
      <c r="A33" s="119" t="s">
        <v>181</v>
      </c>
      <c r="B33" s="48" t="s">
        <v>101</v>
      </c>
      <c r="C33" s="48" t="s">
        <v>101</v>
      </c>
      <c r="D33" s="48">
        <v>2011</v>
      </c>
      <c r="E33" s="48" t="s">
        <v>204</v>
      </c>
      <c r="F33" s="391"/>
      <c r="G33" s="391"/>
      <c r="H33" s="391">
        <v>783.481</v>
      </c>
      <c r="I33" s="391">
        <v>828.273</v>
      </c>
      <c r="J33" s="391">
        <v>927.725</v>
      </c>
      <c r="K33" s="391">
        <v>972.256</v>
      </c>
      <c r="L33" s="391">
        <v>977.3648519713714</v>
      </c>
      <c r="M33" s="391">
        <v>1022.412789897166</v>
      </c>
      <c r="N33" s="391">
        <v>974.068885584245</v>
      </c>
      <c r="O33" s="391">
        <v>898.0632913763002</v>
      </c>
      <c r="P33" s="422">
        <v>918.0361774669062</v>
      </c>
      <c r="Q33" s="422">
        <v>1444.6256603738632</v>
      </c>
      <c r="R33" s="393">
        <v>2.1091668059653124</v>
      </c>
      <c r="S33" s="50" t="str">
        <f>IF('Region summary'!$B$5="World","Yes",IF(AND(D33=Sheet1!$F$114,'Traffic data for database'!E79=Forecast_timeframe),IF(OR(B33=Sheet1!$C$125,C33=Sheet1!$C$125,T33=Sheet1!$C$125,U33=Sheet1!$C$125),"Yes","No"),"No"))</f>
        <v>Yes</v>
      </c>
      <c r="T33" s="50" t="str">
        <f t="shared" si="0"/>
        <v>North America</v>
      </c>
      <c r="U33" s="50" t="str">
        <f t="shared" si="1"/>
        <v>North America</v>
      </c>
    </row>
    <row r="34" spans="1:21" ht="12.75">
      <c r="A34" s="119" t="s">
        <v>182</v>
      </c>
      <c r="B34" s="48" t="s">
        <v>101</v>
      </c>
      <c r="C34" s="48" t="s">
        <v>110</v>
      </c>
      <c r="D34" s="48">
        <v>2011</v>
      </c>
      <c r="E34" s="48" t="s">
        <v>204</v>
      </c>
      <c r="F34" s="391"/>
      <c r="G34" s="391"/>
      <c r="H34" s="391">
        <v>115.77014382661723</v>
      </c>
      <c r="I34" s="391">
        <v>104.98529262734559</v>
      </c>
      <c r="J34" s="391">
        <v>113.90472991377075</v>
      </c>
      <c r="K34" s="391">
        <v>122.98649397586422</v>
      </c>
      <c r="L34" s="391">
        <v>116.54842444647055</v>
      </c>
      <c r="M34" s="391">
        <v>126.47316874915268</v>
      </c>
      <c r="N34" s="391">
        <v>118.8068676775929</v>
      </c>
      <c r="O34" s="391">
        <v>100.84508122163784</v>
      </c>
      <c r="P34" s="422">
        <v>106.33698140675266</v>
      </c>
      <c r="Q34" s="422">
        <v>182.26502691480817</v>
      </c>
      <c r="R34" s="393">
        <v>2.7657086906089923</v>
      </c>
      <c r="S34" s="50" t="str">
        <f>IF('Region summary'!$B$5="World","Yes",IF(AND(D34=Sheet1!$F$114,'Traffic data for database'!E80=Forecast_timeframe),IF(OR(B34=Sheet1!$C$125,C34=Sheet1!$C$125,T34=Sheet1!$C$125,U34=Sheet1!$C$125),"Yes","No"),"No"))</f>
        <v>Yes</v>
      </c>
      <c r="T34" s="50" t="str">
        <f t="shared" si="0"/>
        <v>North America</v>
      </c>
      <c r="U34" s="50" t="str">
        <f t="shared" si="1"/>
        <v>Asia Pacific</v>
      </c>
    </row>
    <row r="35" spans="1:21" ht="12.75">
      <c r="A35" s="119" t="s">
        <v>215</v>
      </c>
      <c r="B35" s="48" t="s">
        <v>101</v>
      </c>
      <c r="C35" s="48" t="s">
        <v>109</v>
      </c>
      <c r="D35" s="48">
        <v>2011</v>
      </c>
      <c r="E35" s="48" t="s">
        <v>204</v>
      </c>
      <c r="F35" s="391"/>
      <c r="G35" s="391"/>
      <c r="H35" s="391">
        <v>24.858831683353298</v>
      </c>
      <c r="I35" s="391">
        <v>25.402678419079013</v>
      </c>
      <c r="J35" s="391">
        <v>27.927143051356584</v>
      </c>
      <c r="K35" s="391">
        <v>29.063039734273914</v>
      </c>
      <c r="L35" s="391">
        <v>30.581932585357244</v>
      </c>
      <c r="M35" s="391">
        <v>32.11413566008465</v>
      </c>
      <c r="N35" s="391">
        <v>32.256683417325405</v>
      </c>
      <c r="O35" s="391">
        <v>34.81040081941998</v>
      </c>
      <c r="P35" s="422">
        <v>35.63807966124926</v>
      </c>
      <c r="Q35" s="422">
        <v>84.24253075315433</v>
      </c>
      <c r="R35" s="393">
        <v>4.4301948609751785</v>
      </c>
      <c r="S35" s="50" t="str">
        <f>IF('Region summary'!$B$5="World","Yes",IF(AND(D35=Sheet1!$F$114,'Traffic data for database'!E81=Forecast_timeframe),IF(OR(B35=Sheet1!$C$125,C35=Sheet1!$C$125,T35=Sheet1!$C$125,U35=Sheet1!$C$125),"Yes","No"),"No"))</f>
        <v>Yes</v>
      </c>
      <c r="T35" s="50" t="str">
        <f t="shared" si="0"/>
        <v>North America</v>
      </c>
      <c r="U35" s="50" t="str">
        <f t="shared" si="1"/>
        <v>Asia Pacific</v>
      </c>
    </row>
    <row r="36" spans="1:21" ht="12.75">
      <c r="A36" s="119" t="s">
        <v>183</v>
      </c>
      <c r="B36" s="48" t="s">
        <v>101</v>
      </c>
      <c r="C36" s="48" t="s">
        <v>163</v>
      </c>
      <c r="D36" s="48">
        <v>2011</v>
      </c>
      <c r="E36" s="48" t="s">
        <v>204</v>
      </c>
      <c r="F36" s="391"/>
      <c r="G36" s="391"/>
      <c r="H36" s="391">
        <v>43.984247461066204</v>
      </c>
      <c r="I36" s="391">
        <v>38.87545804997632</v>
      </c>
      <c r="J36" s="391">
        <v>42.13140807077774</v>
      </c>
      <c r="K36" s="391">
        <v>46.22589121048318</v>
      </c>
      <c r="L36" s="391">
        <v>50.678983690477764</v>
      </c>
      <c r="M36" s="391">
        <v>52.06295490521649</v>
      </c>
      <c r="N36" s="391">
        <v>52.67790799886381</v>
      </c>
      <c r="O36" s="391">
        <v>56.872818410515734</v>
      </c>
      <c r="P36" s="422">
        <v>60.907076500193604</v>
      </c>
      <c r="Q36" s="422">
        <v>240.144855553956</v>
      </c>
      <c r="R36" s="393">
        <v>6.209590210102034</v>
      </c>
      <c r="S36" s="50" t="str">
        <f>IF('Region summary'!$B$5="World","Yes",IF(AND(D36=Sheet1!$F$114,'Traffic data for database'!E82=Forecast_timeframe),IF(OR(B36=Sheet1!$C$125,C36=Sheet1!$C$125,T36=Sheet1!$C$125,U36=Sheet1!$C$125),"Yes","No"),"No"))</f>
        <v>Yes</v>
      </c>
      <c r="T36" s="50" t="str">
        <f t="shared" si="0"/>
        <v>North America</v>
      </c>
      <c r="U36" s="50" t="str">
        <f t="shared" si="1"/>
        <v>Latin America</v>
      </c>
    </row>
    <row r="37" spans="1:21" ht="12.75">
      <c r="A37" s="119" t="s">
        <v>184</v>
      </c>
      <c r="B37" s="48" t="s">
        <v>101</v>
      </c>
      <c r="C37" s="48" t="s">
        <v>111</v>
      </c>
      <c r="D37" s="48">
        <v>2011</v>
      </c>
      <c r="E37" s="48" t="s">
        <v>204</v>
      </c>
      <c r="F37" s="391"/>
      <c r="G37" s="391"/>
      <c r="H37" s="391">
        <v>28.97399681811856</v>
      </c>
      <c r="I37" s="391">
        <v>24.659976313076648</v>
      </c>
      <c r="J37" s="391">
        <v>29.675494279906598</v>
      </c>
      <c r="K37" s="391">
        <v>35.26585352629312</v>
      </c>
      <c r="L37" s="391">
        <v>34.12509697868524</v>
      </c>
      <c r="M37" s="391">
        <v>38.30810913867642</v>
      </c>
      <c r="N37" s="391">
        <v>38.590237492028436</v>
      </c>
      <c r="O37" s="391">
        <v>30.08040756090162</v>
      </c>
      <c r="P37" s="422">
        <v>30.73009622483833</v>
      </c>
      <c r="Q37" s="422">
        <v>105.47651024805947</v>
      </c>
      <c r="R37" s="393">
        <v>6.396291343886817</v>
      </c>
      <c r="S37" s="50" t="str">
        <f>IF('Region summary'!$B$5="World","Yes",IF(AND(D37=Sheet1!$F$114,'Traffic data for database'!E83=Forecast_timeframe),IF(OR(B37=Sheet1!$C$125,C37=Sheet1!$C$125,T37=Sheet1!$C$125,U37=Sheet1!$C$125),"Yes","No"),"No"))</f>
        <v>Yes</v>
      </c>
      <c r="T37" s="50" t="str">
        <f aca="true" t="shared" si="2" ref="T37:T68">VLOOKUP(B37,$X$5:$Y$23,2,FALSE)</f>
        <v>North America</v>
      </c>
      <c r="U37" s="50" t="str">
        <f t="shared" si="1"/>
        <v>Asia Pacific</v>
      </c>
    </row>
    <row r="38" spans="1:21" s="402" customFormat="1" ht="12.75">
      <c r="A38" s="399" t="s">
        <v>185</v>
      </c>
      <c r="B38" s="400" t="s">
        <v>110</v>
      </c>
      <c r="C38" s="400" t="s">
        <v>110</v>
      </c>
      <c r="D38" s="400">
        <v>2011</v>
      </c>
      <c r="E38" s="400" t="s">
        <v>204</v>
      </c>
      <c r="F38" s="392"/>
      <c r="G38" s="392"/>
      <c r="H38" s="391">
        <v>81.69154021454379</v>
      </c>
      <c r="I38" s="391">
        <v>78.82741774447031</v>
      </c>
      <c r="J38" s="391">
        <v>72.65763144241254</v>
      </c>
      <c r="K38" s="391">
        <v>70.10165997650257</v>
      </c>
      <c r="L38" s="391">
        <v>72.80281916861298</v>
      </c>
      <c r="M38" s="391">
        <v>74.92311680127402</v>
      </c>
      <c r="N38" s="391">
        <v>77.23684380049089</v>
      </c>
      <c r="O38" s="391">
        <v>71.789272448913</v>
      </c>
      <c r="P38" s="422">
        <v>71.75957941789072</v>
      </c>
      <c r="Q38" s="422">
        <v>138.66564659613078</v>
      </c>
      <c r="R38" s="401">
        <v>3.385405171876177</v>
      </c>
      <c r="S38" s="50" t="str">
        <f>IF('Region summary'!$B$5="World","Yes",IF(AND(D38=Sheet1!$F$114,'Traffic data for database'!E84=Forecast_timeframe),IF(OR(B38=Sheet1!$C$125,C38=Sheet1!$C$125,T38=Sheet1!$C$125,U38=Sheet1!$C$125),"Yes","No"),"No"))</f>
        <v>Yes</v>
      </c>
      <c r="T38" s="50" t="str">
        <f t="shared" si="2"/>
        <v>Asia Pacific</v>
      </c>
      <c r="U38" s="50" t="str">
        <f t="shared" si="1"/>
        <v>Asia Pacific</v>
      </c>
    </row>
    <row r="39" spans="1:21" s="402" customFormat="1" ht="12.75">
      <c r="A39" s="399" t="s">
        <v>216</v>
      </c>
      <c r="B39" s="400" t="s">
        <v>110</v>
      </c>
      <c r="C39" s="400" t="s">
        <v>109</v>
      </c>
      <c r="D39" s="400">
        <v>2011</v>
      </c>
      <c r="E39" s="400" t="s">
        <v>204</v>
      </c>
      <c r="F39" s="392"/>
      <c r="G39" s="392"/>
      <c r="H39" s="391">
        <v>19.7584076910904</v>
      </c>
      <c r="I39" s="391">
        <v>17.847566632205414</v>
      </c>
      <c r="J39" s="391">
        <v>20.26070234122723</v>
      </c>
      <c r="K39" s="391">
        <v>18.999736475468413</v>
      </c>
      <c r="L39" s="391">
        <v>19.592708781192268</v>
      </c>
      <c r="M39" s="391">
        <v>20.806296805638347</v>
      </c>
      <c r="N39" s="391">
        <v>19.536792784765716</v>
      </c>
      <c r="O39" s="391">
        <v>12.886700797736646</v>
      </c>
      <c r="P39" s="422">
        <v>16.14622950884951</v>
      </c>
      <c r="Q39" s="422">
        <v>31.282877546926798</v>
      </c>
      <c r="R39" s="401">
        <v>3.3976551511505804</v>
      </c>
      <c r="S39" s="50" t="str">
        <f>IF('Region summary'!$B$5="World","Yes",IF(AND(D39=Sheet1!$F$114,'Traffic data for database'!E85=Forecast_timeframe),IF(OR(B39=Sheet1!$C$125,C39=Sheet1!$C$125,T39=Sheet1!$C$125,U39=Sheet1!$C$125),"Yes","No"),"No"))</f>
        <v>Yes</v>
      </c>
      <c r="T39" s="50" t="str">
        <f t="shared" si="2"/>
        <v>Asia Pacific</v>
      </c>
      <c r="U39" s="50" t="str">
        <f t="shared" si="1"/>
        <v>Asia Pacific</v>
      </c>
    </row>
    <row r="40" spans="1:21" s="402" customFormat="1" ht="12.75">
      <c r="A40" s="399" t="s">
        <v>186</v>
      </c>
      <c r="B40" s="400" t="s">
        <v>110</v>
      </c>
      <c r="C40" s="400" t="s">
        <v>111</v>
      </c>
      <c r="D40" s="400">
        <v>2011</v>
      </c>
      <c r="E40" s="400" t="s">
        <v>204</v>
      </c>
      <c r="F40" s="392"/>
      <c r="G40" s="392"/>
      <c r="H40" s="391">
        <v>63.688793162702446</v>
      </c>
      <c r="I40" s="391">
        <v>55.99260279883175</v>
      </c>
      <c r="J40" s="391">
        <v>66.2008276666929</v>
      </c>
      <c r="K40" s="391">
        <v>70.95420001006374</v>
      </c>
      <c r="L40" s="391">
        <v>77.02541347753967</v>
      </c>
      <c r="M40" s="391">
        <v>85.7098530667497</v>
      </c>
      <c r="N40" s="391">
        <v>84.04959863517806</v>
      </c>
      <c r="O40" s="391">
        <v>70.20821424058694</v>
      </c>
      <c r="P40" s="422">
        <v>74.07713225551775</v>
      </c>
      <c r="Q40" s="422">
        <v>236.68754166013989</v>
      </c>
      <c r="R40" s="401">
        <v>6.016368524532023</v>
      </c>
      <c r="S40" s="50" t="str">
        <f>IF('Region summary'!$B$5="World","Yes",IF(AND(D40=Sheet1!$F$114,'Traffic data for database'!E86=Forecast_timeframe),IF(OR(B40=Sheet1!$C$125,C40=Sheet1!$C$125,T40=Sheet1!$C$125,U40=Sheet1!$C$125),"Yes","No"),"No"))</f>
        <v>Yes</v>
      </c>
      <c r="T40" s="50" t="str">
        <f t="shared" si="2"/>
        <v>Asia Pacific</v>
      </c>
      <c r="U40" s="50" t="str">
        <f t="shared" si="1"/>
        <v>Asia Pacific</v>
      </c>
    </row>
    <row r="41" spans="1:21" s="402" customFormat="1" ht="12.75">
      <c r="A41" s="399" t="s">
        <v>217</v>
      </c>
      <c r="B41" s="399" t="s">
        <v>109</v>
      </c>
      <c r="C41" s="399" t="s">
        <v>109</v>
      </c>
      <c r="D41" s="400">
        <v>2011</v>
      </c>
      <c r="E41" s="400" t="s">
        <v>204</v>
      </c>
      <c r="F41" s="392"/>
      <c r="G41" s="392"/>
      <c r="H41" s="391">
        <v>49.84584468476507</v>
      </c>
      <c r="I41" s="391">
        <v>52.090416370207755</v>
      </c>
      <c r="J41" s="391">
        <v>65.23008800980735</v>
      </c>
      <c r="K41" s="391">
        <v>65.24891445046852</v>
      </c>
      <c r="L41" s="391">
        <v>70.84283916738205</v>
      </c>
      <c r="M41" s="391">
        <v>74.35423678066948</v>
      </c>
      <c r="N41" s="391">
        <v>72.00871764661255</v>
      </c>
      <c r="O41" s="391">
        <v>73.28949378028763</v>
      </c>
      <c r="P41" s="422">
        <v>80.64546302871011</v>
      </c>
      <c r="Q41" s="422">
        <v>200.51772988039403</v>
      </c>
      <c r="R41" s="401">
        <v>4.694870543822671</v>
      </c>
      <c r="S41" s="50" t="str">
        <f>IF('Region summary'!$B$5="World","Yes",IF(AND(D41=Sheet1!$F$114,'Traffic data for database'!E87=Forecast_timeframe),IF(OR(B41=Sheet1!$C$125,C41=Sheet1!$C$125,T41=Sheet1!$C$125,U41=Sheet1!$C$125),"Yes","No"),"No"))</f>
        <v>Yes</v>
      </c>
      <c r="T41" s="50" t="str">
        <f t="shared" si="2"/>
        <v>Asia Pacific</v>
      </c>
      <c r="U41" s="50" t="str">
        <f t="shared" si="1"/>
        <v>Asia Pacific</v>
      </c>
    </row>
    <row r="42" spans="1:21" s="402" customFormat="1" ht="12.75">
      <c r="A42" s="399" t="s">
        <v>218</v>
      </c>
      <c r="B42" s="399" t="s">
        <v>109</v>
      </c>
      <c r="C42" s="399" t="s">
        <v>111</v>
      </c>
      <c r="D42" s="400">
        <v>2011</v>
      </c>
      <c r="E42" s="400" t="s">
        <v>204</v>
      </c>
      <c r="F42" s="392"/>
      <c r="G42" s="392"/>
      <c r="H42" s="391">
        <v>43.65694019145048</v>
      </c>
      <c r="I42" s="391">
        <v>43.89581727896398</v>
      </c>
      <c r="J42" s="391">
        <v>50.98239509918473</v>
      </c>
      <c r="K42" s="391">
        <v>56.66303738398949</v>
      </c>
      <c r="L42" s="391">
        <v>53.764444492451204</v>
      </c>
      <c r="M42" s="391">
        <v>58.07383911683267</v>
      </c>
      <c r="N42" s="391">
        <v>54.87995393027911</v>
      </c>
      <c r="O42" s="391">
        <v>56.4454393257076</v>
      </c>
      <c r="P42" s="422">
        <v>62.43271579848792</v>
      </c>
      <c r="Q42" s="422">
        <v>195.0264060157461</v>
      </c>
      <c r="R42" s="401">
        <v>5.388428267999235</v>
      </c>
      <c r="S42" s="50" t="str">
        <f>IF('Region summary'!$B$5="World","Yes",IF(AND(D42=Sheet1!$F$114,'Traffic data for database'!E88=Forecast_timeframe),IF(OR(B42=Sheet1!$C$125,C42=Sheet1!$C$125,T42=Sheet1!$C$125,U42=Sheet1!$C$125),"Yes","No"),"No"))</f>
        <v>Yes</v>
      </c>
      <c r="T42" s="50" t="str">
        <f t="shared" si="2"/>
        <v>Asia Pacific</v>
      </c>
      <c r="U42" s="50" t="str">
        <f t="shared" si="1"/>
        <v>Asia Pacific</v>
      </c>
    </row>
    <row r="43" spans="1:21" s="398" customFormat="1" ht="12.75">
      <c r="A43" s="394" t="s">
        <v>187</v>
      </c>
      <c r="B43" s="395" t="s">
        <v>163</v>
      </c>
      <c r="C43" s="395" t="s">
        <v>163</v>
      </c>
      <c r="D43" s="395">
        <v>2011</v>
      </c>
      <c r="E43" s="395" t="s">
        <v>204</v>
      </c>
      <c r="F43" s="396"/>
      <c r="G43" s="396"/>
      <c r="H43" s="391">
        <v>56.970238760623</v>
      </c>
      <c r="I43" s="391">
        <v>51.916004809980954</v>
      </c>
      <c r="J43" s="391">
        <v>58.78714229947457</v>
      </c>
      <c r="K43" s="391">
        <v>64.07122552618691</v>
      </c>
      <c r="L43" s="391">
        <v>74.24963373586894</v>
      </c>
      <c r="M43" s="391">
        <v>83.0790019637455</v>
      </c>
      <c r="N43" s="391">
        <v>81.60267615990142</v>
      </c>
      <c r="O43" s="391">
        <v>86.92804270025381</v>
      </c>
      <c r="P43" s="422">
        <v>114.03533640084008</v>
      </c>
      <c r="Q43" s="422">
        <v>440.01054111098193</v>
      </c>
      <c r="R43" s="397">
        <v>7.233290134775072</v>
      </c>
      <c r="S43" s="50" t="str">
        <f>IF('Region summary'!$B$5="World","Yes",IF(AND(D43=Sheet1!$F$114,'Traffic data for database'!E89=Forecast_timeframe),IF(OR(B43=Sheet1!$C$125,C43=Sheet1!$C$125,T43=Sheet1!$C$125,U43=Sheet1!$C$125),"Yes","No"),"No"))</f>
        <v>Yes</v>
      </c>
      <c r="T43" s="50" t="str">
        <f t="shared" si="2"/>
        <v>Latin America</v>
      </c>
      <c r="U43" s="50" t="str">
        <f t="shared" si="1"/>
        <v>Latin America</v>
      </c>
    </row>
    <row r="44" spans="1:21" s="402" customFormat="1" ht="12.75">
      <c r="A44" s="399" t="s">
        <v>188</v>
      </c>
      <c r="B44" s="400" t="s">
        <v>111</v>
      </c>
      <c r="C44" s="400" t="s">
        <v>111</v>
      </c>
      <c r="D44" s="400">
        <v>2011</v>
      </c>
      <c r="E44" s="400" t="s">
        <v>204</v>
      </c>
      <c r="F44" s="392"/>
      <c r="G44" s="392"/>
      <c r="H44" s="391">
        <v>73.13339171362695</v>
      </c>
      <c r="I44" s="391">
        <v>66.34370895769895</v>
      </c>
      <c r="J44" s="391">
        <v>86.71365430749071</v>
      </c>
      <c r="K44" s="391">
        <v>95.60543833597808</v>
      </c>
      <c r="L44" s="391">
        <v>96.04381467636865</v>
      </c>
      <c r="M44" s="391">
        <v>109.1838833500267</v>
      </c>
      <c r="N44" s="391">
        <v>113.60770731000818</v>
      </c>
      <c r="O44" s="391">
        <v>109.66663105832468</v>
      </c>
      <c r="P44" s="422">
        <v>130.6552168673908</v>
      </c>
      <c r="Q44" s="422">
        <v>539.9769925900933</v>
      </c>
      <c r="R44" s="401">
        <v>7.935114411711219</v>
      </c>
      <c r="S44" s="50" t="str">
        <f>IF('Region summary'!$B$5="World","Yes",IF(AND(D44=Sheet1!$F$114,'Traffic data for database'!E90=Forecast_timeframe),IF(OR(B44=Sheet1!$C$125,C44=Sheet1!$C$125,T44=Sheet1!$C$125,U44=Sheet1!$C$125),"Yes","No"),"No"))</f>
        <v>Yes</v>
      </c>
      <c r="T44" s="50" t="str">
        <f t="shared" si="2"/>
        <v>Asia Pacific</v>
      </c>
      <c r="U44" s="50" t="str">
        <f t="shared" si="1"/>
        <v>Asia Pacific</v>
      </c>
    </row>
    <row r="45" spans="1:21" s="402" customFormat="1" ht="12.75">
      <c r="A45" s="399" t="s">
        <v>655</v>
      </c>
      <c r="B45" s="400" t="s">
        <v>111</v>
      </c>
      <c r="C45" s="400" t="s">
        <v>649</v>
      </c>
      <c r="D45" s="400">
        <v>2011</v>
      </c>
      <c r="E45" s="400" t="s">
        <v>204</v>
      </c>
      <c r="F45" s="392"/>
      <c r="G45" s="392"/>
      <c r="H45" s="391">
        <v>13.209239259758707</v>
      </c>
      <c r="I45" s="391">
        <v>12.12312903529932</v>
      </c>
      <c r="J45" s="391">
        <v>15.376046469986827</v>
      </c>
      <c r="K45" s="391">
        <v>20.693220603504873</v>
      </c>
      <c r="L45" s="391">
        <v>19.732687396726426</v>
      </c>
      <c r="M45" s="391">
        <v>22.594723197097572</v>
      </c>
      <c r="N45" s="391">
        <v>21.4915328781602</v>
      </c>
      <c r="O45" s="391">
        <v>22.274856444262124</v>
      </c>
      <c r="P45" s="422">
        <v>28.93723105787422</v>
      </c>
      <c r="Q45" s="422">
        <v>148.8977927474241</v>
      </c>
      <c r="R45" s="401">
        <v>8.572415050735271</v>
      </c>
      <c r="S45" s="50" t="str">
        <f>IF('Region summary'!$B$5="World","Yes",IF(AND(D45=Sheet1!$F$114,'Traffic data for database'!E91=Forecast_timeframe),IF(OR(B45=Sheet1!$C$125,C45=Sheet1!$C$125,T45=Sheet1!$C$125,U45=Sheet1!$C$125),"Yes","No"),"No"))</f>
        <v>Yes</v>
      </c>
      <c r="T45" s="50" t="str">
        <f t="shared" si="2"/>
        <v>Asia Pacific</v>
      </c>
      <c r="U45" s="50" t="str">
        <f t="shared" si="1"/>
        <v>Asia Pacific</v>
      </c>
    </row>
    <row r="46" spans="1:21" s="402" customFormat="1" ht="12.75">
      <c r="A46" s="399" t="s">
        <v>656</v>
      </c>
      <c r="B46" s="400" t="s">
        <v>649</v>
      </c>
      <c r="C46" s="400" t="s">
        <v>649</v>
      </c>
      <c r="D46" s="400">
        <v>2011</v>
      </c>
      <c r="E46" s="400" t="s">
        <v>204</v>
      </c>
      <c r="F46" s="392"/>
      <c r="G46" s="392"/>
      <c r="H46" s="391">
        <v>16.916882844181448</v>
      </c>
      <c r="I46" s="391">
        <v>17.786039859614025</v>
      </c>
      <c r="J46" s="391">
        <v>21.134652936641057</v>
      </c>
      <c r="K46" s="391">
        <v>25.157580456281735</v>
      </c>
      <c r="L46" s="391">
        <v>31.307106973552433</v>
      </c>
      <c r="M46" s="391">
        <v>36.28896978190151</v>
      </c>
      <c r="N46" s="391">
        <v>40.08260457755838</v>
      </c>
      <c r="O46" s="391">
        <v>43.80947882761863</v>
      </c>
      <c r="P46" s="422">
        <v>49.052227846033766</v>
      </c>
      <c r="Q46" s="422">
        <v>294.14873270938836</v>
      </c>
      <c r="R46" s="401">
        <v>9.407486957979616</v>
      </c>
      <c r="S46" s="50" t="str">
        <f>IF('Region summary'!$B$5="World","Yes",IF(AND(D46=Sheet1!$F$114,'Traffic data for database'!E92=Forecast_timeframe),IF(OR(B46=Sheet1!$C$125,C46=Sheet1!$C$125,T46=Sheet1!$C$125,U46=Sheet1!$C$125),"Yes","No"),"No"))</f>
        <v>Yes</v>
      </c>
      <c r="T46" s="50" t="str">
        <f t="shared" si="2"/>
        <v>Asia Pacific</v>
      </c>
      <c r="U46" s="50" t="str">
        <f t="shared" si="1"/>
        <v>Asia Pacific</v>
      </c>
    </row>
    <row r="47" spans="1:21" ht="12.75">
      <c r="A47" s="119" t="s">
        <v>663</v>
      </c>
      <c r="B47" s="48" t="s">
        <v>663</v>
      </c>
      <c r="C47" s="48" t="s">
        <v>161</v>
      </c>
      <c r="D47" s="48">
        <v>2011</v>
      </c>
      <c r="E47" s="48" t="s">
        <v>204</v>
      </c>
      <c r="F47" s="391"/>
      <c r="G47" s="391"/>
      <c r="H47" s="391">
        <v>14.878164766574427</v>
      </c>
      <c r="I47" s="391">
        <v>15.24106906584575</v>
      </c>
      <c r="J47" s="391">
        <v>26.384014652108586</v>
      </c>
      <c r="K47" s="391">
        <v>31.22984560112309</v>
      </c>
      <c r="L47" s="391">
        <v>37.768221299534495</v>
      </c>
      <c r="M47" s="391">
        <v>43.220071799728565</v>
      </c>
      <c r="N47" s="391">
        <v>52.397079306641494</v>
      </c>
      <c r="O47" s="391">
        <v>69.01142145946453</v>
      </c>
      <c r="P47" s="422">
        <v>87.91855988062635</v>
      </c>
      <c r="Q47" s="422">
        <v>421.81338487134974</v>
      </c>
      <c r="R47" s="393">
        <v>7.980654569310142</v>
      </c>
      <c r="S47" s="50" t="str">
        <f>IF('Region summary'!$B$5="World","Yes",IF(AND(D47=Sheet1!$F$114,'Traffic data for database'!E93=Forecast_timeframe),IF(OR(B47=Sheet1!$C$125,C47=Sheet1!$C$125,T47=Sheet1!$C$125,U47=Sheet1!$C$125),"Yes","No"),"No"))</f>
        <v>Yes</v>
      </c>
      <c r="T47" s="50" t="s">
        <v>161</v>
      </c>
      <c r="U47" s="50" t="str">
        <f aca="true" t="shared" si="3" ref="U47:U78">VLOOKUP(C47,$X$5:$Y$23,2,FALSE)</f>
        <v>Rest of the world</v>
      </c>
    </row>
    <row r="48" spans="1:21" ht="12.75">
      <c r="A48" s="119" t="s">
        <v>190</v>
      </c>
      <c r="B48" s="53" t="s">
        <v>168</v>
      </c>
      <c r="C48" s="53" t="s">
        <v>168</v>
      </c>
      <c r="D48" s="48">
        <v>2011</v>
      </c>
      <c r="E48" s="48" t="s">
        <v>204</v>
      </c>
      <c r="F48" s="391"/>
      <c r="G48" s="391"/>
      <c r="H48" s="391">
        <v>3279.0920000000006</v>
      </c>
      <c r="I48" s="391">
        <v>3304.1760000000027</v>
      </c>
      <c r="J48" s="391">
        <v>3754.33</v>
      </c>
      <c r="K48" s="391">
        <v>4026.273999999999</v>
      </c>
      <c r="L48" s="391">
        <v>4233.615966354</v>
      </c>
      <c r="M48" s="391">
        <v>4538.853693633996</v>
      </c>
      <c r="N48" s="391">
        <v>4611.475352732135</v>
      </c>
      <c r="O48" s="391">
        <v>4519.245845677497</v>
      </c>
      <c r="P48" s="422">
        <v>4880.785513331697</v>
      </c>
      <c r="Q48" s="422">
        <v>13312.460913023724</v>
      </c>
      <c r="R48" s="393">
        <v>5.1318083240300405</v>
      </c>
      <c r="S48" s="50" t="str">
        <f>IF('Region summary'!$B$5="World","Yes",IF(AND(D48=Sheet1!$F$114,'Traffic data for database'!E94=Forecast_timeframe),IF(OR(B48=Sheet1!$C$125,C48=Sheet1!$C$125,T48=Sheet1!$C$125,U48=Sheet1!$C$125),"Yes","No"),"No"))</f>
        <v>Yes</v>
      </c>
      <c r="T48" s="50" t="str">
        <f t="shared" si="2"/>
        <v>World</v>
      </c>
      <c r="U48" s="50" t="str">
        <f t="shared" si="3"/>
        <v>World</v>
      </c>
    </row>
    <row r="49" spans="1:21" ht="12.75">
      <c r="A49" s="47" t="s">
        <v>587</v>
      </c>
      <c r="B49" s="47" t="s">
        <v>483</v>
      </c>
      <c r="C49" s="47" t="s">
        <v>483</v>
      </c>
      <c r="D49" s="48">
        <v>2011</v>
      </c>
      <c r="E49" s="48" t="s">
        <v>204</v>
      </c>
      <c r="F49" s="403"/>
      <c r="G49" s="403"/>
      <c r="H49" s="403">
        <f aca="true" t="shared" si="4" ref="H49:Q49">H14+H17+H18+H19+H38+H39+H40+H41+H42+H44+H45+H46</f>
        <v>545.1103042918971</v>
      </c>
      <c r="I49" s="403">
        <f t="shared" si="4"/>
        <v>518.9368215623612</v>
      </c>
      <c r="J49" s="403">
        <f t="shared" si="4"/>
        <v>634.6070505445804</v>
      </c>
      <c r="K49" s="403">
        <f t="shared" si="4"/>
        <v>692.8520923992028</v>
      </c>
      <c r="L49" s="403">
        <f t="shared" si="4"/>
        <v>737.149863282504</v>
      </c>
      <c r="M49" s="403">
        <f t="shared" si="4"/>
        <v>816.5721345419255</v>
      </c>
      <c r="N49" s="403">
        <f t="shared" si="4"/>
        <v>840.032319956945</v>
      </c>
      <c r="O49" s="403">
        <f t="shared" si="4"/>
        <v>859.2270367944952</v>
      </c>
      <c r="P49" s="403">
        <f t="shared" si="4"/>
        <v>980.9069219605817</v>
      </c>
      <c r="Q49" s="403">
        <f t="shared" si="4"/>
        <v>3795.835581498747</v>
      </c>
      <c r="R49" s="404">
        <f>((Q49/P49)^(1/20)-1)*100</f>
        <v>7.00004976253239</v>
      </c>
      <c r="S49" s="50" t="str">
        <f>IF('Region summary'!$B$5="World","Yes",IF(AND(D49=Sheet1!$F$114,'Traffic data for database'!E95=Forecast_timeframe),IF(OR(B49=Sheet1!$C$125,C49=Sheet1!$C$125,T49=Sheet1!$C$125,U49=Sheet1!$C$125),"Yes","No"),"No"))</f>
        <v>Yes</v>
      </c>
      <c r="T49" s="50" t="str">
        <f t="shared" si="2"/>
        <v>Asia Pacific</v>
      </c>
      <c r="U49" s="50" t="str">
        <f t="shared" si="3"/>
        <v>Asia Pacific</v>
      </c>
    </row>
    <row r="50" spans="1:21" ht="12.75">
      <c r="A50" s="47" t="s">
        <v>588</v>
      </c>
      <c r="B50" s="47" t="s">
        <v>104</v>
      </c>
      <c r="C50" s="47" t="s">
        <v>104</v>
      </c>
      <c r="D50" s="48">
        <v>2011</v>
      </c>
      <c r="E50" s="48" t="s">
        <v>204</v>
      </c>
      <c r="F50" s="403"/>
      <c r="G50" s="403"/>
      <c r="H50" s="403">
        <f aca="true" t="shared" si="5" ref="H50:Q50">H10+H13+H43</f>
        <v>87.6514107894559</v>
      </c>
      <c r="I50" s="403">
        <f t="shared" si="5"/>
        <v>84.67333088807929</v>
      </c>
      <c r="J50" s="403">
        <f t="shared" si="5"/>
        <v>95.04442563959148</v>
      </c>
      <c r="K50" s="403">
        <f t="shared" si="5"/>
        <v>100.94229799058651</v>
      </c>
      <c r="L50" s="403">
        <f t="shared" si="5"/>
        <v>112.76543333358975</v>
      </c>
      <c r="M50" s="403">
        <f t="shared" si="5"/>
        <v>123.76801671508396</v>
      </c>
      <c r="N50" s="403">
        <f t="shared" si="5"/>
        <v>126.97884197331965</v>
      </c>
      <c r="O50" s="403">
        <f t="shared" si="5"/>
        <v>130.69621949296527</v>
      </c>
      <c r="P50" s="403">
        <f t="shared" si="5"/>
        <v>164.3743791698082</v>
      </c>
      <c r="Q50" s="403">
        <f t="shared" si="5"/>
        <v>600.8236874478256</v>
      </c>
      <c r="R50" s="404">
        <f>((Q50/P50)^(1/20)-1)*100</f>
        <v>6.695387745605985</v>
      </c>
      <c r="S50" s="50" t="str">
        <f>IF('Region summary'!$B$5="World","Yes",IF(AND(D50=Sheet1!$F$114,'Traffic data for database'!E96=Forecast_timeframe),IF(OR(B50=Sheet1!$C$125,C50=Sheet1!$C$125,T50=Sheet1!$C$125,U50=Sheet1!$C$125),"Yes","No"),"No"))</f>
        <v>Yes</v>
      </c>
      <c r="T50" s="50" t="str">
        <f t="shared" si="2"/>
        <v>Latin America</v>
      </c>
      <c r="U50" s="50" t="str">
        <f t="shared" si="3"/>
        <v>Latin America</v>
      </c>
    </row>
    <row r="51" spans="1:21" ht="12.75">
      <c r="A51" s="119" t="s">
        <v>152</v>
      </c>
      <c r="B51" s="119" t="s">
        <v>105</v>
      </c>
      <c r="C51" s="119" t="s">
        <v>105</v>
      </c>
      <c r="D51" s="351">
        <v>2010</v>
      </c>
      <c r="E51" s="48" t="s">
        <v>204</v>
      </c>
      <c r="F51" s="352">
        <v>19.42240337544</v>
      </c>
      <c r="G51" s="352">
        <v>19.94680826657688</v>
      </c>
      <c r="H51" s="352">
        <v>21.203</v>
      </c>
      <c r="I51" s="353">
        <v>22.475</v>
      </c>
      <c r="J51" s="353">
        <v>24.026</v>
      </c>
      <c r="K51" s="353">
        <v>26.429</v>
      </c>
      <c r="L51" s="353">
        <v>29.70930566642208</v>
      </c>
      <c r="M51" s="353">
        <v>33.94716942551028</v>
      </c>
      <c r="N51" s="353">
        <v>34.53765818357811</v>
      </c>
      <c r="O51" s="353"/>
      <c r="P51" s="354">
        <v>36.050003000937046</v>
      </c>
      <c r="Q51" s="354">
        <v>108.64293373785199</v>
      </c>
      <c r="R51" s="359">
        <v>5.670754652335908</v>
      </c>
      <c r="S51" s="50" t="str">
        <f>IF('Region summary'!$B$5="World","Yes",IF(AND(D51=Sheet1!$F$114,'Traffic data for database'!E97=Forecast_timeframe),IF(OR(B51=Sheet1!$C$125,C51=Sheet1!$C$125,T51=Sheet1!$C$125,U51=Sheet1!$C$125),"Yes","No"),"No"))</f>
        <v>Yes</v>
      </c>
      <c r="T51" s="50" t="str">
        <f t="shared" si="2"/>
        <v>Africa</v>
      </c>
      <c r="U51" s="50" t="str">
        <f t="shared" si="3"/>
        <v>Africa</v>
      </c>
    </row>
    <row r="52" spans="1:21" ht="12.75">
      <c r="A52" s="119" t="s">
        <v>154</v>
      </c>
      <c r="B52" s="119" t="s">
        <v>105</v>
      </c>
      <c r="C52" s="119" t="s">
        <v>102</v>
      </c>
      <c r="D52" s="351">
        <v>2010</v>
      </c>
      <c r="E52" s="48" t="s">
        <v>204</v>
      </c>
      <c r="F52" s="352">
        <v>99.40724999999999</v>
      </c>
      <c r="G52" s="352">
        <v>96.22621799999999</v>
      </c>
      <c r="H52" s="352">
        <v>97.188</v>
      </c>
      <c r="I52" s="353">
        <v>99.132</v>
      </c>
      <c r="J52" s="353">
        <v>105.179</v>
      </c>
      <c r="K52" s="353">
        <v>111.279</v>
      </c>
      <c r="L52" s="353">
        <v>115.15041883094354</v>
      </c>
      <c r="M52" s="353">
        <v>122.42066195248583</v>
      </c>
      <c r="N52" s="353">
        <v>126.08991464157643</v>
      </c>
      <c r="O52" s="353"/>
      <c r="P52" s="354">
        <v>138.26331111160437</v>
      </c>
      <c r="Q52" s="354">
        <v>340.19906929070123</v>
      </c>
      <c r="R52" s="359">
        <v>4.6047265239961055</v>
      </c>
      <c r="S52" s="50" t="str">
        <f>IF('Region summary'!$B$5="World","Yes",IF(AND(D52=Sheet1!$F$114,'Traffic data for database'!E98=Forecast_timeframe),IF(OR(B52=Sheet1!$C$125,C52=Sheet1!$C$125,T52=Sheet1!$C$125,U52=Sheet1!$C$125),"Yes","No"),"No"))</f>
        <v>Yes</v>
      </c>
      <c r="T52" s="50" t="str">
        <f t="shared" si="2"/>
        <v>Africa</v>
      </c>
      <c r="U52" s="50" t="str">
        <f t="shared" si="3"/>
        <v>Europe</v>
      </c>
    </row>
    <row r="53" spans="1:21" ht="12.75">
      <c r="A53" s="119" t="s">
        <v>155</v>
      </c>
      <c r="B53" s="119" t="s">
        <v>105</v>
      </c>
      <c r="C53" s="119" t="s">
        <v>103</v>
      </c>
      <c r="D53" s="351">
        <v>2010</v>
      </c>
      <c r="E53" s="48" t="s">
        <v>204</v>
      </c>
      <c r="F53" s="352">
        <v>9.811200000000001</v>
      </c>
      <c r="G53" s="352">
        <v>10.596096000000003</v>
      </c>
      <c r="H53" s="352">
        <v>13.192</v>
      </c>
      <c r="I53" s="353">
        <v>13.852</v>
      </c>
      <c r="J53" s="353">
        <v>13.921</v>
      </c>
      <c r="K53" s="353">
        <v>16.361</v>
      </c>
      <c r="L53" s="353">
        <v>17.90130113708709</v>
      </c>
      <c r="M53" s="353">
        <v>19.86908570612802</v>
      </c>
      <c r="N53" s="353">
        <v>22.933571096995877</v>
      </c>
      <c r="O53" s="353"/>
      <c r="P53" s="354">
        <v>26.793794314875008</v>
      </c>
      <c r="Q53" s="354">
        <v>94.682532729564</v>
      </c>
      <c r="R53" s="359">
        <v>6.515247877393682</v>
      </c>
      <c r="S53" s="50" t="str">
        <f>IF('Region summary'!$B$5="World","Yes",IF(AND(D53=Sheet1!$F$114,'Traffic data for database'!E99=Forecast_timeframe),IF(OR(B53=Sheet1!$C$125,C53=Sheet1!$C$125,T53=Sheet1!$C$125,U53=Sheet1!$C$125),"Yes","No"),"No"))</f>
        <v>Yes</v>
      </c>
      <c r="T53" s="50" t="str">
        <f t="shared" si="2"/>
        <v>Africa</v>
      </c>
      <c r="U53" s="50" t="str">
        <f t="shared" si="3"/>
        <v>Middle East</v>
      </c>
    </row>
    <row r="54" spans="1:21" ht="12.75">
      <c r="A54" s="119" t="s">
        <v>156</v>
      </c>
      <c r="B54" s="119" t="s">
        <v>105</v>
      </c>
      <c r="C54" s="119" t="s">
        <v>101</v>
      </c>
      <c r="D54" s="351">
        <v>2010</v>
      </c>
      <c r="E54" s="48" t="s">
        <v>204</v>
      </c>
      <c r="F54" s="352">
        <v>4.415814</v>
      </c>
      <c r="G54" s="352">
        <v>4.61452563</v>
      </c>
      <c r="H54" s="352">
        <v>4.292</v>
      </c>
      <c r="I54" s="353">
        <v>4.378</v>
      </c>
      <c r="J54" s="353">
        <v>3.908</v>
      </c>
      <c r="K54" s="353">
        <v>3.752</v>
      </c>
      <c r="L54" s="353">
        <v>4.785756960166193</v>
      </c>
      <c r="M54" s="353">
        <v>8.284304807951733</v>
      </c>
      <c r="N54" s="353">
        <v>8.47472988899895</v>
      </c>
      <c r="O54" s="353"/>
      <c r="P54" s="354">
        <v>11.751175584813984</v>
      </c>
      <c r="Q54" s="354">
        <v>48.279628433599534</v>
      </c>
      <c r="R54" s="359">
        <v>7.3208565424925265</v>
      </c>
      <c r="S54" s="50" t="str">
        <f>IF('Region summary'!$B$5="World","Yes",IF(AND(D54=Sheet1!$F$114,'Traffic data for database'!E100=Forecast_timeframe),IF(OR(B54=Sheet1!$C$125,C54=Sheet1!$C$125,T54=Sheet1!$C$125,U54=Sheet1!$C$125),"Yes","No"),"No"))</f>
        <v>Yes</v>
      </c>
      <c r="T54" s="50" t="str">
        <f t="shared" si="2"/>
        <v>Africa</v>
      </c>
      <c r="U54" s="50" t="str">
        <f t="shared" si="3"/>
        <v>North America</v>
      </c>
    </row>
    <row r="55" spans="1:21" ht="12.75">
      <c r="A55" s="119" t="s">
        <v>157</v>
      </c>
      <c r="B55" s="119" t="s">
        <v>105</v>
      </c>
      <c r="C55" s="119" t="s">
        <v>111</v>
      </c>
      <c r="D55" s="351">
        <v>2010</v>
      </c>
      <c r="E55" s="48" t="s">
        <v>204</v>
      </c>
      <c r="F55" s="352">
        <v>3.2438</v>
      </c>
      <c r="G55" s="352">
        <v>3.3573329999999997</v>
      </c>
      <c r="H55" s="352">
        <v>3.623</v>
      </c>
      <c r="I55" s="353">
        <v>3.65</v>
      </c>
      <c r="J55" s="353">
        <v>3.858</v>
      </c>
      <c r="K55" s="353">
        <v>4.707</v>
      </c>
      <c r="L55" s="353">
        <v>4.788531243871359</v>
      </c>
      <c r="M55" s="353">
        <v>5.681389958827995</v>
      </c>
      <c r="N55" s="353">
        <v>5.550577403382845</v>
      </c>
      <c r="O55" s="353"/>
      <c r="P55" s="354">
        <v>4.598972408109188</v>
      </c>
      <c r="Q55" s="354">
        <v>26.51151899246315</v>
      </c>
      <c r="R55" s="359">
        <v>9.15375748985472</v>
      </c>
      <c r="S55" s="50" t="str">
        <f>IF('Region summary'!$B$5="World","Yes",IF(AND(D55=Sheet1!$F$114,'Traffic data for database'!E101=Forecast_timeframe),IF(OR(B55=Sheet1!$C$125,C55=Sheet1!$C$125,T55=Sheet1!$C$125,U55=Sheet1!$C$125),"Yes","No"),"No"))</f>
        <v>Yes</v>
      </c>
      <c r="T55" s="50" t="str">
        <f t="shared" si="2"/>
        <v>Africa</v>
      </c>
      <c r="U55" s="50" t="str">
        <f t="shared" si="3"/>
        <v>Asia Pacific</v>
      </c>
    </row>
    <row r="56" spans="1:21" ht="12.75">
      <c r="A56" s="119" t="s">
        <v>158</v>
      </c>
      <c r="B56" s="119" t="s">
        <v>153</v>
      </c>
      <c r="C56" s="119" t="s">
        <v>153</v>
      </c>
      <c r="D56" s="351">
        <v>2010</v>
      </c>
      <c r="E56" s="48" t="s">
        <v>204</v>
      </c>
      <c r="F56" s="352">
        <v>23.950003616000004</v>
      </c>
      <c r="G56" s="352">
        <v>23.015953474976005</v>
      </c>
      <c r="H56" s="352">
        <v>23.382</v>
      </c>
      <c r="I56" s="353">
        <v>24.785</v>
      </c>
      <c r="J56" s="353">
        <v>25.999</v>
      </c>
      <c r="K56" s="353">
        <v>25.2103</v>
      </c>
      <c r="L56" s="353">
        <v>25.98309410531326</v>
      </c>
      <c r="M56" s="353">
        <v>26.924103794277833</v>
      </c>
      <c r="N56" s="353">
        <v>27.638351590784353</v>
      </c>
      <c r="O56" s="353"/>
      <c r="P56" s="354">
        <v>25.971144804051338</v>
      </c>
      <c r="Q56" s="354">
        <v>75.35303501854607</v>
      </c>
      <c r="R56" s="359">
        <v>5.470373209981028</v>
      </c>
      <c r="S56" s="50" t="str">
        <f>IF('Region summary'!$B$5="World","Yes",IF(AND(D56=Sheet1!$F$114,'Traffic data for database'!E102=Forecast_timeframe),IF(OR(B56=Sheet1!$C$125,C56=Sheet1!$C$125,T56=Sheet1!$C$125,U56=Sheet1!$C$125),"Yes","No"),"No"))</f>
        <v>Yes</v>
      </c>
      <c r="T56" s="50" t="str">
        <f t="shared" si="2"/>
        <v>Latin America</v>
      </c>
      <c r="U56" s="50" t="str">
        <f t="shared" si="3"/>
        <v>Latin America</v>
      </c>
    </row>
    <row r="57" spans="1:21" ht="12.75">
      <c r="A57" s="119" t="s">
        <v>159</v>
      </c>
      <c r="B57" s="119" t="s">
        <v>153</v>
      </c>
      <c r="C57" s="119" t="s">
        <v>102</v>
      </c>
      <c r="D57" s="351">
        <v>2010</v>
      </c>
      <c r="E57" s="48" t="s">
        <v>204</v>
      </c>
      <c r="F57" s="352">
        <v>66.36078033353999</v>
      </c>
      <c r="G57" s="352">
        <v>69.75</v>
      </c>
      <c r="H57" s="352">
        <v>68.12</v>
      </c>
      <c r="I57" s="353">
        <v>69.8</v>
      </c>
      <c r="J57" s="353">
        <v>75.733</v>
      </c>
      <c r="K57" s="353">
        <v>80.05</v>
      </c>
      <c r="L57" s="353">
        <v>82.02748060727357</v>
      </c>
      <c r="M57" s="353">
        <v>85.44247323997526</v>
      </c>
      <c r="N57" s="353">
        <v>92.09657862157178</v>
      </c>
      <c r="O57" s="353"/>
      <c r="P57" s="354">
        <v>77.50818990522089</v>
      </c>
      <c r="Q57" s="354">
        <v>171.74967634448896</v>
      </c>
      <c r="R57" s="359">
        <v>4.0584653458303865</v>
      </c>
      <c r="S57" s="50" t="str">
        <f>IF('Region summary'!$B$5="World","Yes",IF(AND(D57=Sheet1!$F$114,'Traffic data for database'!E103=Forecast_timeframe),IF(OR(B57=Sheet1!$C$125,C57=Sheet1!$C$125,T57=Sheet1!$C$125,U57=Sheet1!$C$125),"Yes","No"),"No"))</f>
        <v>Yes</v>
      </c>
      <c r="T57" s="50" t="str">
        <f t="shared" si="2"/>
        <v>Latin America</v>
      </c>
      <c r="U57" s="50" t="str">
        <f t="shared" si="3"/>
        <v>Europe</v>
      </c>
    </row>
    <row r="58" spans="1:21" ht="12.75">
      <c r="A58" s="119" t="s">
        <v>160</v>
      </c>
      <c r="B58" s="119" t="s">
        <v>153</v>
      </c>
      <c r="C58" s="119" t="s">
        <v>101</v>
      </c>
      <c r="D58" s="351">
        <v>2010</v>
      </c>
      <c r="E58" s="48" t="s">
        <v>204</v>
      </c>
      <c r="F58" s="352">
        <v>90.05</v>
      </c>
      <c r="G58" s="352">
        <v>88.609</v>
      </c>
      <c r="H58" s="352">
        <v>87.723</v>
      </c>
      <c r="I58" s="353">
        <v>92</v>
      </c>
      <c r="J58" s="353">
        <v>103.5</v>
      </c>
      <c r="K58" s="353">
        <v>104.86</v>
      </c>
      <c r="L58" s="353">
        <v>107.87209048222299</v>
      </c>
      <c r="M58" s="353">
        <v>116.58596172938321</v>
      </c>
      <c r="N58" s="353">
        <v>118.91676476780799</v>
      </c>
      <c r="O58" s="353"/>
      <c r="P58" s="354">
        <v>109.47876649562056</v>
      </c>
      <c r="Q58" s="354">
        <v>244.70929352044115</v>
      </c>
      <c r="R58" s="359">
        <v>4.103667190823357</v>
      </c>
      <c r="S58" s="50" t="str">
        <f>IF('Region summary'!$B$5="World","Yes",IF(AND(D58=Sheet1!$F$114,'Traffic data for database'!E104=Forecast_timeframe),IF(OR(B58=Sheet1!$C$125,C58=Sheet1!$C$125,T58=Sheet1!$C$125,U58=Sheet1!$C$125),"Yes","No"),"No"))</f>
        <v>Yes</v>
      </c>
      <c r="T58" s="50" t="str">
        <f t="shared" si="2"/>
        <v>Latin America</v>
      </c>
      <c r="U58" s="50" t="str">
        <f t="shared" si="3"/>
        <v>North America</v>
      </c>
    </row>
    <row r="59" spans="1:21" ht="12.75">
      <c r="A59" s="119" t="s">
        <v>162</v>
      </c>
      <c r="B59" s="119" t="s">
        <v>153</v>
      </c>
      <c r="C59" s="119" t="s">
        <v>163</v>
      </c>
      <c r="D59" s="351">
        <v>2010</v>
      </c>
      <c r="E59" s="48" t="s">
        <v>204</v>
      </c>
      <c r="F59" s="352">
        <v>7.2557629740000005</v>
      </c>
      <c r="G59" s="352">
        <v>7.168693818312001</v>
      </c>
      <c r="H59" s="352">
        <v>7.097</v>
      </c>
      <c r="I59" s="353">
        <v>7.147</v>
      </c>
      <c r="J59" s="353">
        <v>8.326</v>
      </c>
      <c r="K59" s="353">
        <v>10.657</v>
      </c>
      <c r="L59" s="353">
        <v>12.693581840317144</v>
      </c>
      <c r="M59" s="353">
        <v>14.918270468398656</v>
      </c>
      <c r="N59" s="353">
        <v>15.782299178434792</v>
      </c>
      <c r="O59" s="353"/>
      <c r="P59" s="354">
        <v>17.729380071712054</v>
      </c>
      <c r="Q59" s="354">
        <v>69.31149524131261</v>
      </c>
      <c r="R59" s="359">
        <v>7.0546623080420146</v>
      </c>
      <c r="S59" s="50" t="str">
        <f>IF('Region summary'!$B$5="World","Yes",IF(AND(D59=Sheet1!$F$114,'Traffic data for database'!E105=Forecast_timeframe),IF(OR(B59=Sheet1!$C$125,C59=Sheet1!$C$125,T59=Sheet1!$C$125,U59=Sheet1!$C$125),"Yes","No"),"No"))</f>
        <v>Yes</v>
      </c>
      <c r="T59" s="50" t="str">
        <f t="shared" si="2"/>
        <v>Latin America</v>
      </c>
      <c r="U59" s="50" t="str">
        <f t="shared" si="3"/>
        <v>Latin America</v>
      </c>
    </row>
    <row r="60" spans="1:21" ht="12.75">
      <c r="A60" s="119" t="s">
        <v>164</v>
      </c>
      <c r="B60" s="119" t="s">
        <v>108</v>
      </c>
      <c r="C60" s="119" t="s">
        <v>108</v>
      </c>
      <c r="D60" s="351">
        <v>2010</v>
      </c>
      <c r="E60" s="48" t="s">
        <v>204</v>
      </c>
      <c r="F60" s="352">
        <v>76.71</v>
      </c>
      <c r="G60" s="352">
        <v>86.93</v>
      </c>
      <c r="H60" s="352">
        <v>101.48</v>
      </c>
      <c r="I60" s="353">
        <v>106.87</v>
      </c>
      <c r="J60" s="353">
        <v>143.84</v>
      </c>
      <c r="K60" s="353">
        <v>163.834</v>
      </c>
      <c r="L60" s="353">
        <v>182.35711109264503</v>
      </c>
      <c r="M60" s="353">
        <v>210.73561883029848</v>
      </c>
      <c r="N60" s="353">
        <v>227.14732792741646</v>
      </c>
      <c r="O60" s="353"/>
      <c r="P60" s="354">
        <v>272.4370792882074</v>
      </c>
      <c r="Q60" s="354">
        <v>1241.2507488827512</v>
      </c>
      <c r="R60" s="359">
        <v>7.877199942290458</v>
      </c>
      <c r="S60" s="50" t="str">
        <f>IF('Region summary'!$B$5="World","Yes",IF(AND(D60=Sheet1!$F$114,'Traffic data for database'!E106=Forecast_timeframe),IF(OR(B60=Sheet1!$C$125,C60=Sheet1!$C$125,T60=Sheet1!$C$125,U60=Sheet1!$C$125),"Yes","No"),"No"))</f>
        <v>Yes</v>
      </c>
      <c r="T60" s="50" t="str">
        <f t="shared" si="2"/>
        <v>Asia Pacific</v>
      </c>
      <c r="U60" s="50" t="str">
        <f t="shared" si="3"/>
        <v>Asia Pacific</v>
      </c>
    </row>
    <row r="61" spans="1:21" ht="12.75">
      <c r="A61" s="350" t="s">
        <v>165</v>
      </c>
      <c r="B61" s="119" t="s">
        <v>108</v>
      </c>
      <c r="C61" s="350" t="s">
        <v>102</v>
      </c>
      <c r="D61" s="351">
        <v>2010</v>
      </c>
      <c r="E61" s="48" t="s">
        <v>204</v>
      </c>
      <c r="F61" s="353">
        <v>40.0929</v>
      </c>
      <c r="G61" s="353">
        <v>40.1730858</v>
      </c>
      <c r="H61" s="353">
        <v>42.583</v>
      </c>
      <c r="I61" s="353">
        <v>37.492</v>
      </c>
      <c r="J61" s="353">
        <v>51.184</v>
      </c>
      <c r="K61" s="353">
        <v>60.909</v>
      </c>
      <c r="L61" s="353">
        <v>73.86176701057151</v>
      </c>
      <c r="M61" s="353">
        <v>77.43227626075634</v>
      </c>
      <c r="N61" s="353">
        <v>77.74383088115326</v>
      </c>
      <c r="O61" s="353"/>
      <c r="P61" s="354">
        <v>74.02276226598707</v>
      </c>
      <c r="Q61" s="354">
        <v>238.06557190313154</v>
      </c>
      <c r="R61" s="359">
        <v>6.014816344543639</v>
      </c>
      <c r="S61" s="50" t="str">
        <f>IF('Region summary'!$B$5="World","Yes",IF(AND(D61=Sheet1!$F$114,'Traffic data for database'!E107=Forecast_timeframe),IF(OR(B61=Sheet1!$C$125,C61=Sheet1!$C$125,T61=Sheet1!$C$125,U61=Sheet1!$C$125),"Yes","No"),"No"))</f>
        <v>Yes</v>
      </c>
      <c r="T61" s="50" t="str">
        <f t="shared" si="2"/>
        <v>Asia Pacific</v>
      </c>
      <c r="U61" s="50" t="str">
        <f t="shared" si="3"/>
        <v>Europe</v>
      </c>
    </row>
    <row r="62" spans="1:21" ht="12.75">
      <c r="A62" s="119" t="s">
        <v>166</v>
      </c>
      <c r="B62" s="119" t="s">
        <v>108</v>
      </c>
      <c r="C62" s="119" t="s">
        <v>101</v>
      </c>
      <c r="D62" s="351">
        <v>2010</v>
      </c>
      <c r="E62" s="48" t="s">
        <v>204</v>
      </c>
      <c r="F62" s="352">
        <v>33.171275</v>
      </c>
      <c r="G62" s="352">
        <v>36.179</v>
      </c>
      <c r="H62" s="352">
        <v>33.212</v>
      </c>
      <c r="I62" s="353">
        <v>24.909</v>
      </c>
      <c r="J62" s="353">
        <v>34.374</v>
      </c>
      <c r="K62" s="353">
        <v>40.218</v>
      </c>
      <c r="L62" s="353">
        <v>48.53790296644993</v>
      </c>
      <c r="M62" s="353">
        <v>56.43350633156835</v>
      </c>
      <c r="N62" s="353">
        <v>57.11115189286216</v>
      </c>
      <c r="O62" s="353"/>
      <c r="P62" s="354">
        <v>50.7177003987818</v>
      </c>
      <c r="Q62" s="354">
        <v>152.93616511658448</v>
      </c>
      <c r="R62" s="359">
        <v>5.6738504398684775</v>
      </c>
      <c r="S62" s="50" t="str">
        <f>IF('Region summary'!$B$5="World","Yes",IF(AND(D62=Sheet1!$F$114,'Traffic data for database'!E108=Forecast_timeframe),IF(OR(B62=Sheet1!$C$125,C62=Sheet1!$C$125,T62=Sheet1!$C$125,U62=Sheet1!$C$125),"Yes","No"),"No"))</f>
        <v>Yes</v>
      </c>
      <c r="T62" s="50" t="str">
        <f t="shared" si="2"/>
        <v>Asia Pacific</v>
      </c>
      <c r="U62" s="50" t="str">
        <f t="shared" si="3"/>
        <v>North America</v>
      </c>
    </row>
    <row r="63" spans="1:21" ht="12.75">
      <c r="A63" s="119" t="s">
        <v>167</v>
      </c>
      <c r="B63" s="119" t="s">
        <v>108</v>
      </c>
      <c r="C63" s="119" t="s">
        <v>110</v>
      </c>
      <c r="D63" s="351">
        <v>2010</v>
      </c>
      <c r="E63" s="48" t="s">
        <v>204</v>
      </c>
      <c r="F63" s="352">
        <v>19.433880000000002</v>
      </c>
      <c r="G63" s="352">
        <v>18.42331824</v>
      </c>
      <c r="H63" s="352">
        <v>24.503</v>
      </c>
      <c r="I63" s="353">
        <v>20.092</v>
      </c>
      <c r="J63" s="353">
        <v>27.321</v>
      </c>
      <c r="K63" s="353">
        <v>28.988</v>
      </c>
      <c r="L63" s="353">
        <v>29.994554410761783</v>
      </c>
      <c r="M63" s="353">
        <v>35.68048989951509</v>
      </c>
      <c r="N63" s="353">
        <v>33.282658785247804</v>
      </c>
      <c r="O63" s="353"/>
      <c r="P63" s="354">
        <v>29.831558878962174</v>
      </c>
      <c r="Q63" s="354">
        <v>99.66374564527788</v>
      </c>
      <c r="R63" s="359">
        <v>6.216763209045562</v>
      </c>
      <c r="S63" s="50" t="str">
        <f>IF('Region summary'!$B$5="World","Yes",IF(AND(D63=Sheet1!$F$114,'Traffic data for database'!E109=Forecast_timeframe),IF(OR(B63=Sheet1!$C$125,C63=Sheet1!$C$125,T63=Sheet1!$C$125,U63=Sheet1!$C$125),"Yes","No"),"No"))</f>
        <v>Yes</v>
      </c>
      <c r="T63" s="50" t="str">
        <f t="shared" si="2"/>
        <v>Asia Pacific</v>
      </c>
      <c r="U63" s="50" t="str">
        <f t="shared" si="3"/>
        <v>Asia Pacific</v>
      </c>
    </row>
    <row r="64" spans="1:21" ht="12.75">
      <c r="A64" s="119" t="s">
        <v>664</v>
      </c>
      <c r="B64" s="119" t="s">
        <v>108</v>
      </c>
      <c r="C64" s="48" t="s">
        <v>109</v>
      </c>
      <c r="D64" s="351">
        <v>2010</v>
      </c>
      <c r="E64" s="48" t="s">
        <v>204</v>
      </c>
      <c r="F64" s="352">
        <v>12.130251</v>
      </c>
      <c r="G64" s="352">
        <v>12.433507275</v>
      </c>
      <c r="H64" s="352">
        <v>13.18</v>
      </c>
      <c r="I64" s="353">
        <v>10.609</v>
      </c>
      <c r="J64" s="353">
        <v>15.011</v>
      </c>
      <c r="K64" s="353">
        <v>17.113</v>
      </c>
      <c r="L64" s="353">
        <v>19.339126022623486</v>
      </c>
      <c r="M64" s="353">
        <v>20.36693999061822</v>
      </c>
      <c r="N64" s="353">
        <v>22.339292065308893</v>
      </c>
      <c r="O64" s="353"/>
      <c r="P64" s="354">
        <v>19.266407928140683</v>
      </c>
      <c r="Q64" s="354">
        <v>66.89907061668778</v>
      </c>
      <c r="R64" s="359">
        <v>6.421889789739299</v>
      </c>
      <c r="S64" s="50" t="str">
        <f>IF('Region summary'!$B$5="World","Yes",IF(AND(D64=Sheet1!$F$114,'Traffic data for database'!E110=Forecast_timeframe),IF(OR(B64=Sheet1!$C$125,C64=Sheet1!$C$125,T64=Sheet1!$C$125,U64=Sheet1!$C$125),"Yes","No"),"No"))</f>
        <v>Yes</v>
      </c>
      <c r="T64" s="50" t="str">
        <f t="shared" si="2"/>
        <v>Asia Pacific</v>
      </c>
      <c r="U64" s="50" t="str">
        <f t="shared" si="3"/>
        <v>Asia Pacific</v>
      </c>
    </row>
    <row r="65" spans="1:21" ht="12.75">
      <c r="A65" s="119" t="s">
        <v>169</v>
      </c>
      <c r="B65" s="119" t="s">
        <v>108</v>
      </c>
      <c r="C65" s="119" t="s">
        <v>111</v>
      </c>
      <c r="D65" s="351">
        <v>2010</v>
      </c>
      <c r="E65" s="48" t="s">
        <v>204</v>
      </c>
      <c r="F65" s="352">
        <v>29.330224</v>
      </c>
      <c r="G65" s="352">
        <v>31.67664192</v>
      </c>
      <c r="H65" s="352">
        <v>36.903</v>
      </c>
      <c r="I65" s="353">
        <v>27.677</v>
      </c>
      <c r="J65" s="353">
        <v>41.15</v>
      </c>
      <c r="K65" s="353">
        <v>48.927</v>
      </c>
      <c r="L65" s="353">
        <v>48.585674329955</v>
      </c>
      <c r="M65" s="353">
        <v>52.14451760754986</v>
      </c>
      <c r="N65" s="353">
        <v>50.314292468997124</v>
      </c>
      <c r="O65" s="353"/>
      <c r="P65" s="354">
        <v>47.46126243787324</v>
      </c>
      <c r="Q65" s="354">
        <v>195.3138763487466</v>
      </c>
      <c r="R65" s="359">
        <v>7.329644448558703</v>
      </c>
      <c r="S65" s="50" t="str">
        <f>IF('Region summary'!$B$5="World","Yes",IF(AND(D65=Sheet1!$F$114,'Traffic data for database'!E111=Forecast_timeframe),IF(OR(B65=Sheet1!$C$125,C65=Sheet1!$C$125,T65=Sheet1!$C$125,U65=Sheet1!$C$125),"Yes","No"),"No"))</f>
        <v>Yes</v>
      </c>
      <c r="T65" s="50" t="str">
        <f t="shared" si="2"/>
        <v>Asia Pacific</v>
      </c>
      <c r="U65" s="50" t="str">
        <f t="shared" si="3"/>
        <v>Asia Pacific</v>
      </c>
    </row>
    <row r="66" spans="1:21" ht="12.75">
      <c r="A66" s="119" t="s">
        <v>665</v>
      </c>
      <c r="B66" s="119" t="s">
        <v>57</v>
      </c>
      <c r="C66" s="119" t="s">
        <v>57</v>
      </c>
      <c r="D66" s="351">
        <v>2010</v>
      </c>
      <c r="E66" s="48" t="s">
        <v>204</v>
      </c>
      <c r="F66" s="352">
        <v>39.442</v>
      </c>
      <c r="G66" s="352">
        <v>43.465</v>
      </c>
      <c r="H66" s="352">
        <v>46.942</v>
      </c>
      <c r="I66" s="353">
        <v>50.228</v>
      </c>
      <c r="J66" s="353">
        <v>54.749</v>
      </c>
      <c r="K66" s="353">
        <v>55.953</v>
      </c>
      <c r="L66" s="353">
        <v>57.347857015073416</v>
      </c>
      <c r="M66" s="353">
        <v>57.71724433946208</v>
      </c>
      <c r="N66" s="353">
        <v>61.23289354083867</v>
      </c>
      <c r="O66" s="353"/>
      <c r="P66" s="354">
        <v>48.97971081927359</v>
      </c>
      <c r="Q66" s="354">
        <v>125.43277722651595</v>
      </c>
      <c r="R66" s="359">
        <v>4.814107605911921</v>
      </c>
      <c r="S66" s="50" t="str">
        <f>IF('Region summary'!$B$5="World","Yes",IF(AND(D66=Sheet1!$F$114,'Traffic data for database'!E112=Forecast_timeframe),IF(OR(B66=Sheet1!$C$125,C66=Sheet1!$C$125,T66=Sheet1!$C$125,U66=Sheet1!$C$125),"Yes","No"),"No"))</f>
        <v>Yes</v>
      </c>
      <c r="T66" s="50" t="str">
        <f t="shared" si="2"/>
        <v>C.I.S.</v>
      </c>
      <c r="U66" s="50" t="str">
        <f t="shared" si="3"/>
        <v>C.I.S.</v>
      </c>
    </row>
    <row r="67" spans="1:21" ht="12.75">
      <c r="A67" s="119" t="s">
        <v>666</v>
      </c>
      <c r="B67" s="119" t="s">
        <v>57</v>
      </c>
      <c r="C67" s="119" t="s">
        <v>171</v>
      </c>
      <c r="D67" s="351">
        <v>2010</v>
      </c>
      <c r="E67" s="48" t="s">
        <v>204</v>
      </c>
      <c r="F67" s="352">
        <v>42.904</v>
      </c>
      <c r="G67" s="352">
        <v>48.052</v>
      </c>
      <c r="H67" s="352">
        <v>51.416</v>
      </c>
      <c r="I67" s="353">
        <v>56.403</v>
      </c>
      <c r="J67" s="353">
        <v>63.002</v>
      </c>
      <c r="K67" s="353">
        <v>65.208</v>
      </c>
      <c r="L67" s="353">
        <v>66.64091052795122</v>
      </c>
      <c r="M67" s="353">
        <v>74.57900704587047</v>
      </c>
      <c r="N67" s="353">
        <v>85.4969946170607</v>
      </c>
      <c r="O67" s="353"/>
      <c r="P67" s="354">
        <v>82.11139045063803</v>
      </c>
      <c r="Q67" s="354">
        <v>206.26834205626324</v>
      </c>
      <c r="R67" s="359">
        <v>4.7132064820694985</v>
      </c>
      <c r="S67" s="50" t="str">
        <f>IF('Region summary'!$B$5="World","Yes",IF(AND(D67=Sheet1!$F$114,'Traffic data for database'!E113=Forecast_timeframe),IF(OR(B67=Sheet1!$C$125,C67=Sheet1!$C$125,T67=Sheet1!$C$125,U67=Sheet1!$C$125),"Yes","No"),"No"))</f>
        <v>Yes</v>
      </c>
      <c r="T67" s="50" t="str">
        <f t="shared" si="2"/>
        <v>C.I.S.</v>
      </c>
      <c r="U67" s="50" t="str">
        <f t="shared" si="3"/>
        <v>International</v>
      </c>
    </row>
    <row r="68" spans="1:21" ht="12.75">
      <c r="A68" s="119" t="s">
        <v>172</v>
      </c>
      <c r="B68" s="119" t="s">
        <v>102</v>
      </c>
      <c r="C68" s="119" t="s">
        <v>102</v>
      </c>
      <c r="D68" s="351">
        <v>2010</v>
      </c>
      <c r="E68" s="48" t="s">
        <v>204</v>
      </c>
      <c r="F68" s="352">
        <v>440.104</v>
      </c>
      <c r="G68" s="352">
        <v>449.306</v>
      </c>
      <c r="H68" s="352">
        <v>453.799</v>
      </c>
      <c r="I68" s="353">
        <v>474.7</v>
      </c>
      <c r="J68" s="353">
        <v>521.221</v>
      </c>
      <c r="K68" s="353">
        <v>561.876</v>
      </c>
      <c r="L68" s="353">
        <v>593.3216850078251</v>
      </c>
      <c r="M68" s="353">
        <v>634.2140393719126</v>
      </c>
      <c r="N68" s="353">
        <v>660.5464567666253</v>
      </c>
      <c r="O68" s="353"/>
      <c r="P68" s="354">
        <v>624.9227740997529</v>
      </c>
      <c r="Q68" s="354">
        <v>1409.0954717249745</v>
      </c>
      <c r="R68" s="359">
        <v>4.149143646094311</v>
      </c>
      <c r="S68" s="50" t="str">
        <f>IF('Region summary'!$B$5="World","Yes",IF(AND(D68=Sheet1!$F$114,'Traffic data for database'!E114=Forecast_timeframe),IF(OR(B68=Sheet1!$C$125,C68=Sheet1!$C$125,T68=Sheet1!$C$125,U68=Sheet1!$C$125),"Yes","No"),"No"))</f>
        <v>Yes</v>
      </c>
      <c r="T68" s="50" t="str">
        <f t="shared" si="2"/>
        <v>Europe</v>
      </c>
      <c r="U68" s="50" t="str">
        <f t="shared" si="3"/>
        <v>Europe</v>
      </c>
    </row>
    <row r="69" spans="1:21" ht="12.75">
      <c r="A69" s="350" t="s">
        <v>173</v>
      </c>
      <c r="B69" s="119" t="s">
        <v>102</v>
      </c>
      <c r="C69" s="350" t="s">
        <v>103</v>
      </c>
      <c r="D69" s="351">
        <v>2010</v>
      </c>
      <c r="E69" s="48" t="s">
        <v>204</v>
      </c>
      <c r="F69" s="353">
        <v>65.01087000000001</v>
      </c>
      <c r="G69" s="353">
        <v>59.81</v>
      </c>
      <c r="H69" s="353">
        <v>58.613</v>
      </c>
      <c r="I69" s="353">
        <v>58.906</v>
      </c>
      <c r="J69" s="353">
        <v>67.742</v>
      </c>
      <c r="K69" s="353">
        <v>74.11</v>
      </c>
      <c r="L69" s="353">
        <v>88.25586415455203</v>
      </c>
      <c r="M69" s="353">
        <v>105.15110416533173</v>
      </c>
      <c r="N69" s="353">
        <v>113.54997114164948</v>
      </c>
      <c r="O69" s="353"/>
      <c r="P69" s="354">
        <v>132.75398170753766</v>
      </c>
      <c r="Q69" s="354">
        <v>426.8807408207915</v>
      </c>
      <c r="R69" s="359">
        <v>6.013933887169887</v>
      </c>
      <c r="S69" s="50" t="str">
        <f>IF('Region summary'!$B$5="World","Yes",IF(AND(D69=Sheet1!$F$114,'Traffic data for database'!E115=Forecast_timeframe),IF(OR(B69=Sheet1!$C$125,C69=Sheet1!$C$125,T69=Sheet1!$C$125,U69=Sheet1!$C$125),"Yes","No"),"No"))</f>
        <v>Yes</v>
      </c>
      <c r="T69" s="50" t="str">
        <f aca="true" t="shared" si="6" ref="T69:T132">VLOOKUP(B69,$X$5:$Y$23,2,FALSE)</f>
        <v>Europe</v>
      </c>
      <c r="U69" s="50" t="str">
        <f t="shared" si="3"/>
        <v>Middle East</v>
      </c>
    </row>
    <row r="70" spans="1:21" ht="12.75">
      <c r="A70" s="350" t="s">
        <v>174</v>
      </c>
      <c r="B70" s="119" t="s">
        <v>102</v>
      </c>
      <c r="C70" s="350" t="s">
        <v>101</v>
      </c>
      <c r="D70" s="351">
        <v>2010</v>
      </c>
      <c r="E70" s="48" t="s">
        <v>204</v>
      </c>
      <c r="F70" s="353">
        <v>419.960775</v>
      </c>
      <c r="G70" s="353">
        <v>373.765</v>
      </c>
      <c r="H70" s="353">
        <v>345.955</v>
      </c>
      <c r="I70" s="353">
        <v>349.471</v>
      </c>
      <c r="J70" s="353">
        <v>375.681</v>
      </c>
      <c r="K70" s="353">
        <v>390.708</v>
      </c>
      <c r="L70" s="353">
        <v>403.37463828329436</v>
      </c>
      <c r="M70" s="353">
        <v>420.6086177733024</v>
      </c>
      <c r="N70" s="353">
        <v>432.3757429542293</v>
      </c>
      <c r="O70" s="353"/>
      <c r="P70" s="354">
        <v>405.40065524713987</v>
      </c>
      <c r="Q70" s="354">
        <v>946.1524605026723</v>
      </c>
      <c r="R70" s="359">
        <v>4.328709128923003</v>
      </c>
      <c r="S70" s="50" t="str">
        <f>IF('Region summary'!$B$5="World","Yes",IF(AND(D70=Sheet1!$F$114,'Traffic data for database'!E116=Forecast_timeframe),IF(OR(B70=Sheet1!$C$125,C70=Sheet1!$C$125,T70=Sheet1!$C$125,U70=Sheet1!$C$125),"Yes","No"),"No"))</f>
        <v>Yes</v>
      </c>
      <c r="T70" s="50" t="str">
        <f t="shared" si="6"/>
        <v>Europe</v>
      </c>
      <c r="U70" s="50" t="str">
        <f t="shared" si="3"/>
        <v>North America</v>
      </c>
    </row>
    <row r="71" spans="1:21" ht="12.75">
      <c r="A71" s="119" t="s">
        <v>175</v>
      </c>
      <c r="B71" s="119" t="s">
        <v>102</v>
      </c>
      <c r="C71" s="119" t="s">
        <v>110</v>
      </c>
      <c r="D71" s="351">
        <v>2010</v>
      </c>
      <c r="E71" s="48" t="s">
        <v>204</v>
      </c>
      <c r="F71" s="352">
        <v>63.58695</v>
      </c>
      <c r="G71" s="352">
        <v>55.829342100000005</v>
      </c>
      <c r="H71" s="352">
        <v>53.317</v>
      </c>
      <c r="I71" s="353">
        <v>48.252</v>
      </c>
      <c r="J71" s="353">
        <v>59.833</v>
      </c>
      <c r="K71" s="353">
        <v>60.97</v>
      </c>
      <c r="L71" s="353">
        <v>61.772618958867604</v>
      </c>
      <c r="M71" s="353">
        <v>68.28467854849141</v>
      </c>
      <c r="N71" s="353">
        <v>68.5594271175824</v>
      </c>
      <c r="O71" s="353"/>
      <c r="P71" s="354">
        <v>60.19293631653351</v>
      </c>
      <c r="Q71" s="354">
        <v>124.33093240687676</v>
      </c>
      <c r="R71" s="359">
        <v>3.693535683202387</v>
      </c>
      <c r="S71" s="50" t="str">
        <f>IF('Region summary'!$B$5="World","Yes",IF(AND(D71=Sheet1!$F$114,'Traffic data for database'!E117=Forecast_timeframe),IF(OR(B71=Sheet1!$C$125,C71=Sheet1!$C$125,T71=Sheet1!$C$125,U71=Sheet1!$C$125),"Yes","No"),"No"))</f>
        <v>Yes</v>
      </c>
      <c r="T71" s="50" t="str">
        <f t="shared" si="6"/>
        <v>Europe</v>
      </c>
      <c r="U71" s="50" t="str">
        <f t="shared" si="3"/>
        <v>Asia Pacific</v>
      </c>
    </row>
    <row r="72" spans="1:21" ht="12.75">
      <c r="A72" s="119" t="s">
        <v>176</v>
      </c>
      <c r="B72" s="119" t="s">
        <v>102</v>
      </c>
      <c r="C72" s="119" t="s">
        <v>163</v>
      </c>
      <c r="D72" s="351">
        <v>2010</v>
      </c>
      <c r="E72" s="48" t="s">
        <v>204</v>
      </c>
      <c r="F72" s="352">
        <v>53.1624045628</v>
      </c>
      <c r="G72" s="352">
        <v>52.098</v>
      </c>
      <c r="H72" s="352">
        <v>49.233</v>
      </c>
      <c r="I72" s="353">
        <v>49.479</v>
      </c>
      <c r="J72" s="353">
        <v>57.89</v>
      </c>
      <c r="K72" s="353">
        <v>65.4157</v>
      </c>
      <c r="L72" s="353">
        <v>71.71087821610513</v>
      </c>
      <c r="M72" s="353">
        <v>78.65164532480156</v>
      </c>
      <c r="N72" s="353">
        <v>84.77689330255235</v>
      </c>
      <c r="O72" s="353"/>
      <c r="P72" s="354">
        <v>85.98500212053965</v>
      </c>
      <c r="Q72" s="354">
        <v>227.70553766640512</v>
      </c>
      <c r="R72" s="359">
        <v>4.989905377340342</v>
      </c>
      <c r="S72" s="50" t="str">
        <f>IF('Region summary'!$B$5="World","Yes",IF(AND(D72=Sheet1!$F$114,'Traffic data for database'!E118=Forecast_timeframe),IF(OR(B72=Sheet1!$C$125,C72=Sheet1!$C$125,T72=Sheet1!$C$125,U72=Sheet1!$C$125),"Yes","No"),"No"))</f>
        <v>Yes</v>
      </c>
      <c r="T72" s="50" t="str">
        <f t="shared" si="6"/>
        <v>Europe</v>
      </c>
      <c r="U72" s="50" t="str">
        <f t="shared" si="3"/>
        <v>Latin America</v>
      </c>
    </row>
    <row r="73" spans="1:21" ht="12.75">
      <c r="A73" s="119" t="s">
        <v>177</v>
      </c>
      <c r="B73" s="119" t="s">
        <v>102</v>
      </c>
      <c r="C73" s="119" t="s">
        <v>111</v>
      </c>
      <c r="D73" s="351">
        <v>2010</v>
      </c>
      <c r="E73" s="48" t="s">
        <v>204</v>
      </c>
      <c r="F73" s="352">
        <v>95.75642355667499</v>
      </c>
      <c r="G73" s="352">
        <v>95.94793640378833</v>
      </c>
      <c r="H73" s="352">
        <v>96.428</v>
      </c>
      <c r="I73" s="353">
        <v>94.982</v>
      </c>
      <c r="J73" s="353">
        <v>104.48</v>
      </c>
      <c r="K73" s="353">
        <v>111.271</v>
      </c>
      <c r="L73" s="353">
        <v>110.29635934598251</v>
      </c>
      <c r="M73" s="353">
        <v>108.27698667584521</v>
      </c>
      <c r="N73" s="353">
        <v>108.71264732164508</v>
      </c>
      <c r="O73" s="353"/>
      <c r="P73" s="354">
        <v>109.73698524271236</v>
      </c>
      <c r="Q73" s="354">
        <v>321.6392054250218</v>
      </c>
      <c r="R73" s="359">
        <v>5.523891277051196</v>
      </c>
      <c r="S73" s="50" t="str">
        <f>IF('Region summary'!$B$5="World","Yes",IF(AND(D73=Sheet1!$F$114,'Traffic data for database'!E119=Forecast_timeframe),IF(OR(B73=Sheet1!$C$125,C73=Sheet1!$C$125,T73=Sheet1!$C$125,U73=Sheet1!$C$125),"Yes","No"),"No"))</f>
        <v>Yes</v>
      </c>
      <c r="T73" s="50" t="str">
        <f t="shared" si="6"/>
        <v>Europe</v>
      </c>
      <c r="U73" s="50" t="str">
        <f t="shared" si="3"/>
        <v>Asia Pacific</v>
      </c>
    </row>
    <row r="74" spans="1:21" ht="12.75">
      <c r="A74" s="119" t="s">
        <v>653</v>
      </c>
      <c r="B74" s="119" t="s">
        <v>102</v>
      </c>
      <c r="C74" s="119" t="s">
        <v>649</v>
      </c>
      <c r="D74" s="351">
        <v>2010</v>
      </c>
      <c r="E74" s="48" t="s">
        <v>204</v>
      </c>
      <c r="F74" s="352">
        <v>26.226998372959994</v>
      </c>
      <c r="G74" s="352">
        <v>27.485894294862074</v>
      </c>
      <c r="H74" s="352">
        <v>27.568</v>
      </c>
      <c r="I74" s="353">
        <v>29.498</v>
      </c>
      <c r="J74" s="353">
        <v>35.692</v>
      </c>
      <c r="K74" s="353">
        <v>44.258</v>
      </c>
      <c r="L74" s="353">
        <v>54.12089433160764</v>
      </c>
      <c r="M74" s="353">
        <v>54.26965835337608</v>
      </c>
      <c r="N74" s="353">
        <v>53.45593288433906</v>
      </c>
      <c r="O74" s="353"/>
      <c r="P74" s="354">
        <v>48.288201313019705</v>
      </c>
      <c r="Q74" s="354">
        <v>190.46978305686338</v>
      </c>
      <c r="R74" s="359">
        <v>7.102412358091392</v>
      </c>
      <c r="S74" s="50" t="str">
        <f>IF('Region summary'!$B$5="World","Yes",IF(AND(D74=Sheet1!$F$114,'Traffic data for database'!E120=Forecast_timeframe),IF(OR(B74=Sheet1!$C$125,C74=Sheet1!$C$125,T74=Sheet1!$C$125,U74=Sheet1!$C$125),"Yes","No"),"No"))</f>
        <v>Yes</v>
      </c>
      <c r="T74" s="50" t="str">
        <f t="shared" si="6"/>
        <v>Europe</v>
      </c>
      <c r="U74" s="50" t="str">
        <f t="shared" si="3"/>
        <v>Asia Pacific</v>
      </c>
    </row>
    <row r="75" spans="1:21" ht="12.75">
      <c r="A75" s="119" t="s">
        <v>178</v>
      </c>
      <c r="B75" s="119" t="s">
        <v>103</v>
      </c>
      <c r="C75" s="119" t="s">
        <v>103</v>
      </c>
      <c r="D75" s="351">
        <v>2010</v>
      </c>
      <c r="E75" s="48" t="s">
        <v>204</v>
      </c>
      <c r="F75" s="352">
        <v>27.833730584000005</v>
      </c>
      <c r="G75" s="352">
        <v>27.137887319400008</v>
      </c>
      <c r="H75" s="352">
        <v>27.545</v>
      </c>
      <c r="I75" s="353">
        <v>28.096</v>
      </c>
      <c r="J75" s="353">
        <v>32.029</v>
      </c>
      <c r="K75" s="353">
        <v>33.983</v>
      </c>
      <c r="L75" s="353">
        <v>36.27739779229008</v>
      </c>
      <c r="M75" s="353">
        <v>39.55733629763501</v>
      </c>
      <c r="N75" s="353">
        <v>41.7133774376433</v>
      </c>
      <c r="O75" s="353"/>
      <c r="P75" s="354">
        <v>48.90588741505295</v>
      </c>
      <c r="Q75" s="354">
        <v>157.184501950141</v>
      </c>
      <c r="R75" s="359">
        <v>6.011365602178764</v>
      </c>
      <c r="S75" s="50" t="str">
        <f>IF('Region summary'!$B$5="World","Yes",IF(AND(D75=Sheet1!$F$114,'Traffic data for database'!E121=Forecast_timeframe),IF(OR(B75=Sheet1!$C$125,C75=Sheet1!$C$125,T75=Sheet1!$C$125,U75=Sheet1!$C$125),"Yes","No"),"No"))</f>
        <v>Yes</v>
      </c>
      <c r="T75" s="50" t="str">
        <f t="shared" si="6"/>
        <v>Middle East</v>
      </c>
      <c r="U75" s="50" t="str">
        <f t="shared" si="3"/>
        <v>Middle East</v>
      </c>
    </row>
    <row r="76" spans="1:21" ht="12.75">
      <c r="A76" s="119" t="s">
        <v>179</v>
      </c>
      <c r="B76" s="119" t="s">
        <v>103</v>
      </c>
      <c r="C76" s="119" t="s">
        <v>101</v>
      </c>
      <c r="D76" s="351">
        <v>2010</v>
      </c>
      <c r="E76" s="48" t="s">
        <v>204</v>
      </c>
      <c r="F76" s="352">
        <v>16.052960000000002</v>
      </c>
      <c r="G76" s="352">
        <v>12.039720000000003</v>
      </c>
      <c r="H76" s="352">
        <v>10.354</v>
      </c>
      <c r="I76" s="353">
        <v>9.629</v>
      </c>
      <c r="J76" s="353">
        <v>12.565</v>
      </c>
      <c r="K76" s="353">
        <v>14.437</v>
      </c>
      <c r="L76" s="353">
        <v>19.525247007597162</v>
      </c>
      <c r="M76" s="353">
        <v>30.06401540526904</v>
      </c>
      <c r="N76" s="353">
        <v>34.77573767817498</v>
      </c>
      <c r="O76" s="353"/>
      <c r="P76" s="354">
        <v>44.28795476959338</v>
      </c>
      <c r="Q76" s="354">
        <v>176.68705402273096</v>
      </c>
      <c r="R76" s="359">
        <v>7.163269495403468</v>
      </c>
      <c r="S76" s="50" t="str">
        <f>IF('Region summary'!$B$5="World","Yes",IF(AND(D76=Sheet1!$F$114,'Traffic data for database'!E122=Forecast_timeframe),IF(OR(B76=Sheet1!$C$125,C76=Sheet1!$C$125,T76=Sheet1!$C$125,U76=Sheet1!$C$125),"Yes","No"),"No"))</f>
        <v>Yes</v>
      </c>
      <c r="T76" s="50" t="str">
        <f t="shared" si="6"/>
        <v>Middle East</v>
      </c>
      <c r="U76" s="50" t="str">
        <f t="shared" si="3"/>
        <v>North America</v>
      </c>
    </row>
    <row r="77" spans="1:21" ht="12.75">
      <c r="A77" s="119" t="s">
        <v>180</v>
      </c>
      <c r="B77" s="119" t="s">
        <v>103</v>
      </c>
      <c r="C77" s="119" t="s">
        <v>111</v>
      </c>
      <c r="D77" s="351">
        <v>2010</v>
      </c>
      <c r="E77" s="48" t="s">
        <v>204</v>
      </c>
      <c r="F77" s="352">
        <v>23.96046</v>
      </c>
      <c r="G77" s="352">
        <v>22.858278840000004</v>
      </c>
      <c r="H77" s="352">
        <v>24.001</v>
      </c>
      <c r="I77" s="353">
        <v>26.401</v>
      </c>
      <c r="J77" s="353">
        <v>29.2</v>
      </c>
      <c r="K77" s="353">
        <v>33.288</v>
      </c>
      <c r="L77" s="353">
        <v>38.28365601671681</v>
      </c>
      <c r="M77" s="353">
        <v>45.102250486901326</v>
      </c>
      <c r="N77" s="353">
        <v>45.654262333934845</v>
      </c>
      <c r="O77" s="353"/>
      <c r="P77" s="354">
        <v>49.80679959757549</v>
      </c>
      <c r="Q77" s="354">
        <v>206.57353597012673</v>
      </c>
      <c r="R77" s="359">
        <v>7.371569725603422</v>
      </c>
      <c r="S77" s="50" t="str">
        <f>IF('Region summary'!$B$5="World","Yes",IF(AND(D77=Sheet1!$F$114,'Traffic data for database'!E123=Forecast_timeframe),IF(OR(B77=Sheet1!$C$125,C77=Sheet1!$C$125,T77=Sheet1!$C$125,U77=Sheet1!$C$125),"Yes","No"),"No"))</f>
        <v>Yes</v>
      </c>
      <c r="T77" s="50" t="str">
        <f t="shared" si="6"/>
        <v>Middle East</v>
      </c>
      <c r="U77" s="50" t="str">
        <f t="shared" si="3"/>
        <v>Asia Pacific</v>
      </c>
    </row>
    <row r="78" spans="1:21" ht="12.75">
      <c r="A78" s="119" t="s">
        <v>654</v>
      </c>
      <c r="B78" s="119" t="s">
        <v>103</v>
      </c>
      <c r="C78" s="119" t="s">
        <v>649</v>
      </c>
      <c r="D78" s="351">
        <v>2010</v>
      </c>
      <c r="E78" s="48" t="s">
        <v>204</v>
      </c>
      <c r="F78" s="352">
        <v>29.4141862804</v>
      </c>
      <c r="G78" s="352">
        <v>29.855399074605998</v>
      </c>
      <c r="H78" s="352">
        <v>31.05</v>
      </c>
      <c r="I78" s="353">
        <v>33.844</v>
      </c>
      <c r="J78" s="353">
        <v>35.604</v>
      </c>
      <c r="K78" s="353">
        <v>38.274</v>
      </c>
      <c r="L78" s="353">
        <v>44.02951956729794</v>
      </c>
      <c r="M78" s="353">
        <v>48.816522739431484</v>
      </c>
      <c r="N78" s="353">
        <v>58.064927611942764</v>
      </c>
      <c r="O78" s="353"/>
      <c r="P78" s="354">
        <v>63.60226735193102</v>
      </c>
      <c r="Q78" s="354">
        <v>261.03899176734205</v>
      </c>
      <c r="R78" s="359">
        <v>7.315298835668549</v>
      </c>
      <c r="S78" s="50" t="str">
        <f>IF('Region summary'!$B$5="World","Yes",IF(AND(D78=Sheet1!$F$114,'Traffic data for database'!E124=Forecast_timeframe),IF(OR(B78=Sheet1!$C$125,C78=Sheet1!$C$125,T78=Sheet1!$C$125,U78=Sheet1!$C$125),"Yes","No"),"No"))</f>
        <v>Yes</v>
      </c>
      <c r="T78" s="50" t="str">
        <f t="shared" si="6"/>
        <v>Middle East</v>
      </c>
      <c r="U78" s="50" t="str">
        <f t="shared" si="3"/>
        <v>Asia Pacific</v>
      </c>
    </row>
    <row r="79" spans="1:21" ht="12.75">
      <c r="A79" s="119" t="s">
        <v>181</v>
      </c>
      <c r="B79" s="119" t="s">
        <v>101</v>
      </c>
      <c r="C79" s="119" t="s">
        <v>101</v>
      </c>
      <c r="D79" s="351">
        <v>2010</v>
      </c>
      <c r="E79" s="48" t="s">
        <v>204</v>
      </c>
      <c r="F79" s="352">
        <v>857.471</v>
      </c>
      <c r="G79" s="352">
        <v>812.763</v>
      </c>
      <c r="H79" s="352">
        <v>783.481</v>
      </c>
      <c r="I79" s="353">
        <v>828.273</v>
      </c>
      <c r="J79" s="353">
        <v>927.725</v>
      </c>
      <c r="K79" s="353">
        <v>972.256</v>
      </c>
      <c r="L79" s="353">
        <v>977.3648519713714</v>
      </c>
      <c r="M79" s="353">
        <v>1022.412789897166</v>
      </c>
      <c r="N79" s="353">
        <v>974.068885584245</v>
      </c>
      <c r="O79" s="353"/>
      <c r="P79" s="354">
        <v>898.0632913763002</v>
      </c>
      <c r="Q79" s="354">
        <v>1566.4311204375397</v>
      </c>
      <c r="R79" s="359">
        <v>2.8206199041177715</v>
      </c>
      <c r="S79" s="50" t="str">
        <f>IF('Region summary'!$B$5="World","Yes",IF(AND(D79=Sheet1!$F$114,'Traffic data for database'!E125=Forecast_timeframe),IF(OR(B79=Sheet1!$C$125,C79=Sheet1!$C$125,T79=Sheet1!$C$125,U79=Sheet1!$C$125),"Yes","No"),"No"))</f>
        <v>Yes</v>
      </c>
      <c r="T79" s="50" t="str">
        <f t="shared" si="6"/>
        <v>North America</v>
      </c>
      <c r="U79" s="50" t="str">
        <f aca="true" t="shared" si="7" ref="U79:U110">VLOOKUP(C79,$X$5:$Y$23,2,FALSE)</f>
        <v>North America</v>
      </c>
    </row>
    <row r="80" spans="1:21" ht="12.75">
      <c r="A80" s="119" t="s">
        <v>182</v>
      </c>
      <c r="B80" s="119" t="s">
        <v>101</v>
      </c>
      <c r="C80" s="119" t="s">
        <v>110</v>
      </c>
      <c r="D80" s="351">
        <v>2010</v>
      </c>
      <c r="E80" s="48" t="s">
        <v>204</v>
      </c>
      <c r="F80" s="352">
        <v>140.15035006266</v>
      </c>
      <c r="G80" s="352">
        <v>127.536</v>
      </c>
      <c r="H80" s="352">
        <v>121.159</v>
      </c>
      <c r="I80" s="353">
        <v>102.985</v>
      </c>
      <c r="J80" s="353">
        <v>120.833</v>
      </c>
      <c r="K80" s="353">
        <v>126.15</v>
      </c>
      <c r="L80" s="353">
        <v>122.42329257416657</v>
      </c>
      <c r="M80" s="353">
        <v>124.1475245703149</v>
      </c>
      <c r="N80" s="353">
        <v>122.66458360884631</v>
      </c>
      <c r="O80" s="353"/>
      <c r="P80" s="354">
        <v>112.20991183513891</v>
      </c>
      <c r="Q80" s="354">
        <v>203.65361367877924</v>
      </c>
      <c r="R80" s="359">
        <v>3.0251000568650044</v>
      </c>
      <c r="S80" s="50" t="str">
        <f>IF('Region summary'!$B$5="World","Yes",IF(AND(D80=Sheet1!$F$114,'Traffic data for database'!E126=Forecast_timeframe),IF(OR(B80=Sheet1!$C$125,C80=Sheet1!$C$125,T80=Sheet1!$C$125,U80=Sheet1!$C$125),"Yes","No"),"No"))</f>
        <v>Yes</v>
      </c>
      <c r="T80" s="50" t="str">
        <f t="shared" si="6"/>
        <v>North America</v>
      </c>
      <c r="U80" s="50" t="str">
        <f t="shared" si="7"/>
        <v>Asia Pacific</v>
      </c>
    </row>
    <row r="81" spans="1:21" ht="12.75">
      <c r="A81" s="119" t="s">
        <v>215</v>
      </c>
      <c r="B81" s="119" t="s">
        <v>101</v>
      </c>
      <c r="C81" s="119" t="s">
        <v>109</v>
      </c>
      <c r="D81" s="351">
        <v>2010</v>
      </c>
      <c r="E81" s="48" t="s">
        <v>204</v>
      </c>
      <c r="F81" s="352">
        <v>29.950015</v>
      </c>
      <c r="G81" s="352">
        <v>27.554013800000003</v>
      </c>
      <c r="H81" s="352">
        <v>26.452</v>
      </c>
      <c r="I81" s="353">
        <v>25.922</v>
      </c>
      <c r="J81" s="353">
        <v>30.055</v>
      </c>
      <c r="K81" s="353">
        <v>31.468</v>
      </c>
      <c r="L81" s="353">
        <v>32.220649998164234</v>
      </c>
      <c r="M81" s="353">
        <v>29.542114366234173</v>
      </c>
      <c r="N81" s="353">
        <v>29.472281218875718</v>
      </c>
      <c r="O81" s="353"/>
      <c r="P81" s="354">
        <v>30.354506010322126</v>
      </c>
      <c r="Q81" s="354">
        <v>79.44406288103308</v>
      </c>
      <c r="R81" s="359">
        <v>4.928125358958058</v>
      </c>
      <c r="S81" s="50" t="str">
        <f>IF('Region summary'!$B$5="World","Yes",IF(AND(D81=Sheet1!$F$114,'Traffic data for database'!E127=Forecast_timeframe),IF(OR(B81=Sheet1!$C$125,C81=Sheet1!$C$125,T81=Sheet1!$C$125,U81=Sheet1!$C$125),"Yes","No"),"No"))</f>
        <v>Yes</v>
      </c>
      <c r="T81" s="50" t="str">
        <f t="shared" si="6"/>
        <v>North America</v>
      </c>
      <c r="U81" s="50" t="str">
        <f t="shared" si="7"/>
        <v>Asia Pacific</v>
      </c>
    </row>
    <row r="82" spans="1:21" ht="12.75">
      <c r="A82" s="119" t="s">
        <v>183</v>
      </c>
      <c r="B82" s="119" t="s">
        <v>101</v>
      </c>
      <c r="C82" s="119" t="s">
        <v>163</v>
      </c>
      <c r="D82" s="351">
        <v>2010</v>
      </c>
      <c r="E82" s="48" t="s">
        <v>204</v>
      </c>
      <c r="F82" s="352">
        <v>47.248</v>
      </c>
      <c r="G82" s="352">
        <v>44.791104</v>
      </c>
      <c r="H82" s="352">
        <v>42.686</v>
      </c>
      <c r="I82" s="353">
        <v>37.564</v>
      </c>
      <c r="J82" s="353">
        <v>39.893</v>
      </c>
      <c r="K82" s="353">
        <v>49.866</v>
      </c>
      <c r="L82" s="353">
        <v>59.01933592834062</v>
      </c>
      <c r="M82" s="353">
        <v>66.64026824401954</v>
      </c>
      <c r="N82" s="353">
        <v>59.060297772004304</v>
      </c>
      <c r="O82" s="353"/>
      <c r="P82" s="354">
        <v>63.93370551089755</v>
      </c>
      <c r="Q82" s="354">
        <v>239.7029046667887</v>
      </c>
      <c r="R82" s="359">
        <v>6.830969832759459</v>
      </c>
      <c r="S82" s="50" t="str">
        <f>IF('Region summary'!$B$5="World","Yes",IF(AND(D82=Sheet1!$F$114,'Traffic data for database'!E128=Forecast_timeframe),IF(OR(B82=Sheet1!$C$125,C82=Sheet1!$C$125,T82=Sheet1!$C$125,U82=Sheet1!$C$125),"Yes","No"),"No"))</f>
        <v>Yes</v>
      </c>
      <c r="T82" s="50" t="str">
        <f t="shared" si="6"/>
        <v>North America</v>
      </c>
      <c r="U82" s="50" t="str">
        <f t="shared" si="7"/>
        <v>Latin America</v>
      </c>
    </row>
    <row r="83" spans="1:21" ht="12.75">
      <c r="A83" s="119" t="s">
        <v>184</v>
      </c>
      <c r="B83" s="119" t="s">
        <v>101</v>
      </c>
      <c r="C83" s="119" t="s">
        <v>111</v>
      </c>
      <c r="D83" s="351">
        <v>2010</v>
      </c>
      <c r="E83" s="48" t="s">
        <v>204</v>
      </c>
      <c r="F83" s="352">
        <v>32.05044</v>
      </c>
      <c r="G83" s="352">
        <v>29.3261526</v>
      </c>
      <c r="H83" s="352">
        <v>30.499</v>
      </c>
      <c r="I83" s="353">
        <v>26.839</v>
      </c>
      <c r="J83" s="353">
        <v>33.602</v>
      </c>
      <c r="K83" s="353">
        <v>36.458</v>
      </c>
      <c r="L83" s="353">
        <v>36.50499529553897</v>
      </c>
      <c r="M83" s="353">
        <v>42.74817748966579</v>
      </c>
      <c r="N83" s="353">
        <v>37.35966984329288</v>
      </c>
      <c r="O83" s="353"/>
      <c r="P83" s="354">
        <v>35.896278568372175</v>
      </c>
      <c r="Q83" s="354">
        <v>126.80152217221934</v>
      </c>
      <c r="R83" s="359">
        <v>6.513278364513253</v>
      </c>
      <c r="S83" s="50" t="str">
        <f>IF('Region summary'!$B$5="World","Yes",IF(AND(D83=Sheet1!$F$114,'Traffic data for database'!E129=Forecast_timeframe),IF(OR(B83=Sheet1!$C$125,C83=Sheet1!$C$125,T83=Sheet1!$C$125,U83=Sheet1!$C$125),"Yes","No"),"No"))</f>
        <v>Yes</v>
      </c>
      <c r="T83" s="50" t="str">
        <f t="shared" si="6"/>
        <v>North America</v>
      </c>
      <c r="U83" s="50" t="str">
        <f t="shared" si="7"/>
        <v>Asia Pacific</v>
      </c>
    </row>
    <row r="84" spans="1:21" ht="12.75">
      <c r="A84" s="119" t="s">
        <v>185</v>
      </c>
      <c r="B84" s="119" t="s">
        <v>110</v>
      </c>
      <c r="C84" s="119" t="s">
        <v>110</v>
      </c>
      <c r="D84" s="351">
        <v>2010</v>
      </c>
      <c r="E84" s="48" t="s">
        <v>204</v>
      </c>
      <c r="F84" s="352">
        <v>79.032</v>
      </c>
      <c r="G84" s="352">
        <v>80.21748</v>
      </c>
      <c r="H84" s="352">
        <v>85.031</v>
      </c>
      <c r="I84" s="353">
        <v>86.136</v>
      </c>
      <c r="J84" s="353">
        <v>83.552</v>
      </c>
      <c r="K84" s="353">
        <v>83.886</v>
      </c>
      <c r="L84" s="353">
        <v>84.12398062301818</v>
      </c>
      <c r="M84" s="353">
        <v>82.03626675971162</v>
      </c>
      <c r="N84" s="353">
        <v>81.46571983568533</v>
      </c>
      <c r="O84" s="353"/>
      <c r="P84" s="354">
        <v>88.26734125862554</v>
      </c>
      <c r="Q84" s="354">
        <v>143.15126204097135</v>
      </c>
      <c r="R84" s="359">
        <v>2.4471206614868235</v>
      </c>
      <c r="S84" s="50" t="str">
        <f>IF('Region summary'!$B$5="World","Yes",IF(AND(D84=Sheet1!$F$114,'Traffic data for database'!E130=Forecast_timeframe),IF(OR(B84=Sheet1!$C$125,C84=Sheet1!$C$125,T84=Sheet1!$C$125,U84=Sheet1!$C$125),"Yes","No"),"No"))</f>
        <v>Yes</v>
      </c>
      <c r="T84" s="50" t="str">
        <f t="shared" si="6"/>
        <v>Asia Pacific</v>
      </c>
      <c r="U84" s="50" t="str">
        <f t="shared" si="7"/>
        <v>Asia Pacific</v>
      </c>
    </row>
    <row r="85" spans="1:21" ht="12.75">
      <c r="A85" s="119" t="s">
        <v>216</v>
      </c>
      <c r="B85" s="119" t="s">
        <v>110</v>
      </c>
      <c r="C85" s="119" t="s">
        <v>109</v>
      </c>
      <c r="D85" s="351">
        <v>2010</v>
      </c>
      <c r="E85" s="48" t="s">
        <v>204</v>
      </c>
      <c r="F85" s="352">
        <v>24.066448876800003</v>
      </c>
      <c r="G85" s="352">
        <v>22.502129699808002</v>
      </c>
      <c r="H85" s="352">
        <v>24.505</v>
      </c>
      <c r="I85" s="353">
        <v>22.789</v>
      </c>
      <c r="J85" s="353">
        <v>27.115</v>
      </c>
      <c r="K85" s="353">
        <v>25.732</v>
      </c>
      <c r="L85" s="353">
        <v>24.5716491038555</v>
      </c>
      <c r="M85" s="353">
        <v>23.269433294858118</v>
      </c>
      <c r="N85" s="353">
        <v>20.86651000832701</v>
      </c>
      <c r="O85" s="353"/>
      <c r="P85" s="354">
        <v>15.218334419358685</v>
      </c>
      <c r="Q85" s="354">
        <v>34.0552604549599</v>
      </c>
      <c r="R85" s="359">
        <v>4.109618281372285</v>
      </c>
      <c r="S85" s="50" t="str">
        <f>IF('Region summary'!$B$5="World","Yes",IF(AND(D85=Sheet1!$F$114,'Traffic data for database'!E131=Forecast_timeframe),IF(OR(B85=Sheet1!$C$125,C85=Sheet1!$C$125,T85=Sheet1!$C$125,U85=Sheet1!$C$125),"Yes","No"),"No"))</f>
        <v>Yes</v>
      </c>
      <c r="T85" s="50" t="str">
        <f t="shared" si="6"/>
        <v>Asia Pacific</v>
      </c>
      <c r="U85" s="50" t="str">
        <f t="shared" si="7"/>
        <v>Asia Pacific</v>
      </c>
    </row>
    <row r="86" spans="1:21" ht="12.75">
      <c r="A86" s="119" t="s">
        <v>186</v>
      </c>
      <c r="B86" s="119" t="s">
        <v>110</v>
      </c>
      <c r="C86" s="119" t="s">
        <v>111</v>
      </c>
      <c r="D86" s="351">
        <v>2010</v>
      </c>
      <c r="E86" s="48" t="s">
        <v>204</v>
      </c>
      <c r="F86" s="352">
        <v>48.51496</v>
      </c>
      <c r="G86" s="352">
        <v>47.7872356</v>
      </c>
      <c r="H86" s="352">
        <v>54.43</v>
      </c>
      <c r="I86" s="353">
        <v>45.721</v>
      </c>
      <c r="J86" s="353">
        <v>61.537</v>
      </c>
      <c r="K86" s="353">
        <v>67.075</v>
      </c>
      <c r="L86" s="353">
        <v>74.27747898688888</v>
      </c>
      <c r="M86" s="353">
        <v>79.00130100942962</v>
      </c>
      <c r="N86" s="353">
        <v>73.93024302811864</v>
      </c>
      <c r="O86" s="353"/>
      <c r="P86" s="354">
        <v>66.52564208412635</v>
      </c>
      <c r="Q86" s="354">
        <v>232.04185983718253</v>
      </c>
      <c r="R86" s="359">
        <v>6.445881582961399</v>
      </c>
      <c r="S86" s="50" t="str">
        <f>IF('Region summary'!$B$5="World","Yes",IF(AND(D86=Sheet1!$F$114,'Traffic data for database'!E132=Forecast_timeframe),IF(OR(B86=Sheet1!$C$125,C86=Sheet1!$C$125,T86=Sheet1!$C$125,U86=Sheet1!$C$125),"Yes","No"),"No"))</f>
        <v>Yes</v>
      </c>
      <c r="T86" s="50" t="str">
        <f t="shared" si="6"/>
        <v>Asia Pacific</v>
      </c>
      <c r="U86" s="50" t="str">
        <f t="shared" si="7"/>
        <v>Asia Pacific</v>
      </c>
    </row>
    <row r="87" spans="1:21" ht="12.75">
      <c r="A87" s="119" t="s">
        <v>217</v>
      </c>
      <c r="B87" s="119" t="s">
        <v>109</v>
      </c>
      <c r="C87" s="119" t="s">
        <v>109</v>
      </c>
      <c r="D87" s="351">
        <v>2010</v>
      </c>
      <c r="E87" s="48" t="s">
        <v>204</v>
      </c>
      <c r="F87" s="352">
        <v>49.24375800000001</v>
      </c>
      <c r="G87" s="352">
        <v>50.72107074</v>
      </c>
      <c r="H87" s="352">
        <v>50.214</v>
      </c>
      <c r="I87" s="353">
        <v>55.486</v>
      </c>
      <c r="J87" s="353">
        <v>58.8</v>
      </c>
      <c r="K87" s="353">
        <v>63.034</v>
      </c>
      <c r="L87" s="353">
        <v>67.84940049622</v>
      </c>
      <c r="M87" s="353">
        <v>72.63619208348246</v>
      </c>
      <c r="N87" s="353">
        <v>78.01024283089592</v>
      </c>
      <c r="O87" s="353"/>
      <c r="P87" s="354">
        <v>74.83965546823481</v>
      </c>
      <c r="Q87" s="354">
        <v>212.2262126181849</v>
      </c>
      <c r="R87" s="359">
        <v>5.349714308996822</v>
      </c>
      <c r="S87" s="50" t="str">
        <f>IF('Region summary'!$B$5="World","Yes",IF(AND(D87=Sheet1!$F$114,'Traffic data for database'!E133=Forecast_timeframe),IF(OR(B87=Sheet1!$C$125,C87=Sheet1!$C$125,T87=Sheet1!$C$125,U87=Sheet1!$C$125),"Yes","No"),"No"))</f>
        <v>Yes</v>
      </c>
      <c r="T87" s="50" t="str">
        <f t="shared" si="6"/>
        <v>Asia Pacific</v>
      </c>
      <c r="U87" s="50" t="str">
        <f t="shared" si="7"/>
        <v>Asia Pacific</v>
      </c>
    </row>
    <row r="88" spans="1:21" ht="12.75">
      <c r="A88" s="119" t="s">
        <v>218</v>
      </c>
      <c r="B88" s="119" t="s">
        <v>109</v>
      </c>
      <c r="C88" s="119" t="s">
        <v>111</v>
      </c>
      <c r="D88" s="351">
        <v>2010</v>
      </c>
      <c r="E88" s="48" t="s">
        <v>204</v>
      </c>
      <c r="F88" s="352">
        <v>46.19038962375</v>
      </c>
      <c r="G88" s="352">
        <v>47.5761013124625</v>
      </c>
      <c r="H88" s="352">
        <v>46.625</v>
      </c>
      <c r="I88" s="353">
        <v>41.962</v>
      </c>
      <c r="J88" s="353">
        <v>54.595</v>
      </c>
      <c r="K88" s="353">
        <v>60.056</v>
      </c>
      <c r="L88" s="353">
        <v>57.34347033826619</v>
      </c>
      <c r="M88" s="353">
        <v>55.70905437767055</v>
      </c>
      <c r="N88" s="353">
        <v>65.60753547377375</v>
      </c>
      <c r="O88" s="353"/>
      <c r="P88" s="354">
        <v>65.93283225730005</v>
      </c>
      <c r="Q88" s="354">
        <v>222.40035087810338</v>
      </c>
      <c r="R88" s="359">
        <v>6.267799284691211</v>
      </c>
      <c r="S88" s="50" t="str">
        <f>IF('Region summary'!$B$5="World","Yes",IF(AND(D88=Sheet1!$F$114,'Traffic data for database'!E134=Forecast_timeframe),IF(OR(B88=Sheet1!$C$125,C88=Sheet1!$C$125,T88=Sheet1!$C$125,U88=Sheet1!$C$125),"Yes","No"),"No"))</f>
        <v>Yes</v>
      </c>
      <c r="T88" s="50" t="str">
        <f t="shared" si="6"/>
        <v>Asia Pacific</v>
      </c>
      <c r="U88" s="50" t="str">
        <f t="shared" si="7"/>
        <v>Asia Pacific</v>
      </c>
    </row>
    <row r="89" spans="1:21" ht="12.75">
      <c r="A89" s="119" t="s">
        <v>187</v>
      </c>
      <c r="B89" s="119" t="s">
        <v>163</v>
      </c>
      <c r="C89" s="119" t="s">
        <v>163</v>
      </c>
      <c r="D89" s="351">
        <v>2010</v>
      </c>
      <c r="E89" s="48" t="s">
        <v>204</v>
      </c>
      <c r="F89" s="352">
        <v>53.523</v>
      </c>
      <c r="G89" s="352">
        <v>50.793327000000005</v>
      </c>
      <c r="H89" s="352">
        <v>52.673</v>
      </c>
      <c r="I89" s="353">
        <v>47.932</v>
      </c>
      <c r="J89" s="353">
        <v>52.902</v>
      </c>
      <c r="K89" s="353">
        <v>60.837</v>
      </c>
      <c r="L89" s="353">
        <v>72.79639319463952</v>
      </c>
      <c r="M89" s="353">
        <v>78.8310614570912</v>
      </c>
      <c r="N89" s="353">
        <v>79.8563298791854</v>
      </c>
      <c r="O89" s="353"/>
      <c r="P89" s="354">
        <v>91.65404379413818</v>
      </c>
      <c r="Q89" s="354">
        <v>391.50551976869167</v>
      </c>
      <c r="R89" s="359">
        <v>7.529917581610279</v>
      </c>
      <c r="S89" s="50" t="str">
        <f>IF('Region summary'!$B$5="World","Yes",IF(AND(D89=Sheet1!$F$114,'Traffic data for database'!E135=Forecast_timeframe),IF(OR(B89=Sheet1!$C$125,C89=Sheet1!$C$125,T89=Sheet1!$C$125,U89=Sheet1!$C$125),"Yes","No"),"No"))</f>
        <v>Yes</v>
      </c>
      <c r="T89" s="50" t="str">
        <f t="shared" si="6"/>
        <v>Latin America</v>
      </c>
      <c r="U89" s="50" t="str">
        <f t="shared" si="7"/>
        <v>Latin America</v>
      </c>
    </row>
    <row r="90" spans="1:21" ht="12.75">
      <c r="A90" s="119" t="s">
        <v>188</v>
      </c>
      <c r="B90" s="119" t="s">
        <v>111</v>
      </c>
      <c r="C90" s="119" t="s">
        <v>111</v>
      </c>
      <c r="D90" s="351">
        <v>2010</v>
      </c>
      <c r="E90" s="48" t="s">
        <v>204</v>
      </c>
      <c r="F90" s="352">
        <v>53.650439999999996</v>
      </c>
      <c r="G90" s="352">
        <v>57.03</v>
      </c>
      <c r="H90" s="352">
        <v>60.566</v>
      </c>
      <c r="I90" s="353">
        <v>59.355</v>
      </c>
      <c r="J90" s="353">
        <v>73.897</v>
      </c>
      <c r="K90" s="353">
        <v>82.395</v>
      </c>
      <c r="L90" s="353">
        <v>89.19150603311779</v>
      </c>
      <c r="M90" s="353">
        <v>96.71024861158497</v>
      </c>
      <c r="N90" s="353">
        <v>89.86035100265597</v>
      </c>
      <c r="O90" s="353"/>
      <c r="P90" s="354">
        <v>94.68732281503351</v>
      </c>
      <c r="Q90" s="354">
        <v>466.2958782871702</v>
      </c>
      <c r="R90" s="359">
        <v>8.297513892488695</v>
      </c>
      <c r="S90" s="50" t="str">
        <f>IF('Region summary'!$B$5="World","Yes",IF(AND(D90=Sheet1!$F$114,'Traffic data for database'!E136=Forecast_timeframe),IF(OR(B90=Sheet1!$C$125,C90=Sheet1!$C$125,T90=Sheet1!$C$125,U90=Sheet1!$C$125),"Yes","No"),"No"))</f>
        <v>Yes</v>
      </c>
      <c r="T90" s="50" t="str">
        <f t="shared" si="6"/>
        <v>Asia Pacific</v>
      </c>
      <c r="U90" s="50" t="str">
        <f t="shared" si="7"/>
        <v>Asia Pacific</v>
      </c>
    </row>
    <row r="91" spans="1:21" ht="12.75">
      <c r="A91" s="119" t="s">
        <v>655</v>
      </c>
      <c r="B91" s="119" t="s">
        <v>111</v>
      </c>
      <c r="C91" s="119" t="s">
        <v>649</v>
      </c>
      <c r="D91" s="351">
        <v>2010</v>
      </c>
      <c r="E91" s="48" t="s">
        <v>204</v>
      </c>
      <c r="F91" s="352">
        <v>10.934880000000001</v>
      </c>
      <c r="G91" s="352">
        <v>11.590972800000001</v>
      </c>
      <c r="H91" s="352">
        <v>12.576</v>
      </c>
      <c r="I91" s="353">
        <v>12.513</v>
      </c>
      <c r="J91" s="353">
        <v>14.89</v>
      </c>
      <c r="K91" s="353">
        <v>17.124</v>
      </c>
      <c r="L91" s="353">
        <v>19.136853458217875</v>
      </c>
      <c r="M91" s="353">
        <v>19.993807257907026</v>
      </c>
      <c r="N91" s="353">
        <v>22.19091158503525</v>
      </c>
      <c r="O91" s="353"/>
      <c r="P91" s="354">
        <v>20.424425409469915</v>
      </c>
      <c r="Q91" s="354">
        <v>131.36990401559476</v>
      </c>
      <c r="R91" s="359">
        <v>9.75322785462942</v>
      </c>
      <c r="S91" s="50" t="str">
        <f>IF('Region summary'!$B$5="World","Yes",IF(AND(D91=Sheet1!$F$114,'Traffic data for database'!E137=Forecast_timeframe),IF(OR(B91=Sheet1!$C$125,C91=Sheet1!$C$125,T91=Sheet1!$C$125,U91=Sheet1!$C$125),"Yes","No"),"No"))</f>
        <v>Yes</v>
      </c>
      <c r="T91" s="50" t="str">
        <f t="shared" si="6"/>
        <v>Asia Pacific</v>
      </c>
      <c r="U91" s="50" t="str">
        <f t="shared" si="7"/>
        <v>Asia Pacific</v>
      </c>
    </row>
    <row r="92" spans="1:21" ht="12.75">
      <c r="A92" s="119" t="s">
        <v>656</v>
      </c>
      <c r="B92" s="119" t="s">
        <v>649</v>
      </c>
      <c r="C92" s="119" t="s">
        <v>649</v>
      </c>
      <c r="D92" s="351">
        <v>2010</v>
      </c>
      <c r="E92" s="48" t="s">
        <v>204</v>
      </c>
      <c r="F92" s="352">
        <v>16.0097109</v>
      </c>
      <c r="G92" s="352">
        <v>16.618079914200003</v>
      </c>
      <c r="H92" s="352">
        <v>17.416</v>
      </c>
      <c r="I92" s="353">
        <v>17.712</v>
      </c>
      <c r="J92" s="353">
        <v>21.254</v>
      </c>
      <c r="K92" s="353">
        <v>24.973</v>
      </c>
      <c r="L92" s="353">
        <v>29.53771021218455</v>
      </c>
      <c r="M92" s="353">
        <v>39.124321532637815</v>
      </c>
      <c r="N92" s="353">
        <v>44.09238783560814</v>
      </c>
      <c r="O92" s="353"/>
      <c r="P92" s="354">
        <v>43.38372292176919</v>
      </c>
      <c r="Q92" s="354">
        <v>255.5343093199358</v>
      </c>
      <c r="R92" s="359">
        <v>9.2713025548822</v>
      </c>
      <c r="S92" s="50" t="str">
        <f>IF('Region summary'!$B$5="World","Yes",IF(AND(D92=Sheet1!$F$114,'Traffic data for database'!E138=Forecast_timeframe),IF(OR(B92=Sheet1!$C$125,C92=Sheet1!$C$125,T92=Sheet1!$C$125,U92=Sheet1!$C$125),"Yes","No"),"No"))</f>
        <v>Yes</v>
      </c>
      <c r="T92" s="50" t="str">
        <f t="shared" si="6"/>
        <v>Asia Pacific</v>
      </c>
      <c r="U92" s="50" t="str">
        <f t="shared" si="7"/>
        <v>Asia Pacific</v>
      </c>
    </row>
    <row r="93" spans="1:21" ht="12.75">
      <c r="A93" s="119" t="s">
        <v>663</v>
      </c>
      <c r="B93" s="119" t="s">
        <v>161</v>
      </c>
      <c r="C93" s="119" t="s">
        <v>161</v>
      </c>
      <c r="D93" s="351">
        <v>2010</v>
      </c>
      <c r="E93" s="48" t="s">
        <v>204</v>
      </c>
      <c r="F93" s="355">
        <v>15.1692970124</v>
      </c>
      <c r="G93" s="355">
        <v>16.0428983139203</v>
      </c>
      <c r="H93" s="355">
        <v>16.877000000000006</v>
      </c>
      <c r="I93" s="355">
        <v>18.23</v>
      </c>
      <c r="J93" s="355">
        <v>26.662</v>
      </c>
      <c r="K93" s="355">
        <v>31.918000000000003</v>
      </c>
      <c r="L93" s="355">
        <v>38.709175208223236</v>
      </c>
      <c r="M93" s="355">
        <v>53.89125615134801</v>
      </c>
      <c r="N93" s="356">
        <v>64.09513912325531</v>
      </c>
      <c r="O93" s="356"/>
      <c r="P93" s="357">
        <v>70.99877660221362</v>
      </c>
      <c r="Q93" s="357">
        <v>338.7177471637185</v>
      </c>
      <c r="R93" s="359">
        <v>8.125805129422424</v>
      </c>
      <c r="S93" s="50" t="str">
        <f>IF('Region summary'!$B$5="World","Yes",IF(AND(D93=Sheet1!$F$114,'Traffic data for database'!E139=Forecast_timeframe),IF(OR(B93=Sheet1!$C$125,C93=Sheet1!$C$125,T93=Sheet1!$C$125,U93=Sheet1!$C$125),"Yes","No"),"No"))</f>
        <v>Yes</v>
      </c>
      <c r="T93" s="50" t="str">
        <f t="shared" si="6"/>
        <v>Rest of the world</v>
      </c>
      <c r="U93" s="50" t="str">
        <f t="shared" si="7"/>
        <v>Rest of the world</v>
      </c>
    </row>
    <row r="94" spans="1:21" ht="12.75">
      <c r="A94" s="119" t="s">
        <v>190</v>
      </c>
      <c r="B94" s="119" t="s">
        <v>190</v>
      </c>
      <c r="C94" s="119" t="s">
        <v>190</v>
      </c>
      <c r="D94" s="351">
        <v>2010</v>
      </c>
      <c r="E94" s="48" t="s">
        <v>204</v>
      </c>
      <c r="F94" s="352">
        <v>3381.4059921314247</v>
      </c>
      <c r="G94" s="352">
        <v>3289.6002052379117</v>
      </c>
      <c r="H94" s="352">
        <v>3279.092</v>
      </c>
      <c r="I94" s="352">
        <v>3304.176</v>
      </c>
      <c r="J94" s="352">
        <v>3754.33</v>
      </c>
      <c r="K94" s="352">
        <v>4026.2739999999994</v>
      </c>
      <c r="L94" s="352">
        <v>4233.615966354</v>
      </c>
      <c r="M94" s="352">
        <v>4538.853693633997</v>
      </c>
      <c r="N94" s="353">
        <v>4611.475352732139</v>
      </c>
      <c r="O94" s="353"/>
      <c r="P94" s="354">
        <v>4519.245845677497</v>
      </c>
      <c r="Q94" s="354">
        <v>12596.359224639746</v>
      </c>
      <c r="R94" s="359">
        <v>5.258930623856606</v>
      </c>
      <c r="S94" s="50" t="str">
        <f>IF('Region summary'!$B$5="World","Yes",IF(AND(D94=Sheet1!$F$114,'Traffic data for database'!E140=Forecast_timeframe),IF(OR(B94=Sheet1!$C$125,C94=Sheet1!$C$125,T94=Sheet1!$C$125,U94=Sheet1!$C$125),"Yes","No"),"No"))</f>
        <v>Yes</v>
      </c>
      <c r="T94" s="50" t="str">
        <f t="shared" si="6"/>
        <v>World</v>
      </c>
      <c r="U94" s="50" t="str">
        <f t="shared" si="7"/>
        <v>World</v>
      </c>
    </row>
    <row r="95" spans="1:21" ht="12.75">
      <c r="A95" s="47" t="s">
        <v>670</v>
      </c>
      <c r="B95" s="47" t="s">
        <v>104</v>
      </c>
      <c r="C95" s="47" t="s">
        <v>104</v>
      </c>
      <c r="D95" s="53">
        <v>2010</v>
      </c>
      <c r="E95" s="53" t="s">
        <v>204</v>
      </c>
      <c r="F95" s="358">
        <v>84.72876659</v>
      </c>
      <c r="G95" s="358">
        <v>80.97797429328801</v>
      </c>
      <c r="H95" s="358">
        <v>83.152</v>
      </c>
      <c r="I95" s="358">
        <v>79.864</v>
      </c>
      <c r="J95" s="358">
        <v>87.227</v>
      </c>
      <c r="K95" s="358">
        <v>96.7043</v>
      </c>
      <c r="L95" s="358">
        <v>111.47306914026993</v>
      </c>
      <c r="M95" s="358">
        <v>120.67343571976768</v>
      </c>
      <c r="N95" s="358">
        <v>123.27698064840453</v>
      </c>
      <c r="O95" s="358"/>
      <c r="P95" s="358">
        <v>135.35456866990157</v>
      </c>
      <c r="Q95" s="358">
        <v>536.1700500285503</v>
      </c>
      <c r="R95" s="359">
        <v>7.125159507614942</v>
      </c>
      <c r="S95" s="50" t="str">
        <f>IF('Region summary'!$B$5="World","Yes",IF(AND(D95=Sheet1!$F$114,'Traffic data for database'!E141=Forecast_timeframe),IF(OR(B95=Sheet1!$C$125,C95=Sheet1!$C$125,T95=Sheet1!$C$125,U95=Sheet1!$C$125),"Yes","No"),"No"))</f>
        <v>Yes</v>
      </c>
      <c r="T95" s="50" t="str">
        <f t="shared" si="6"/>
        <v>Latin America</v>
      </c>
      <c r="U95" s="50" t="str">
        <f t="shared" si="7"/>
        <v>Latin America</v>
      </c>
    </row>
    <row r="96" spans="1:21" ht="12.75">
      <c r="A96" s="47" t="s">
        <v>671</v>
      </c>
      <c r="B96" s="47" t="s">
        <v>483</v>
      </c>
      <c r="C96" s="47" t="s">
        <v>483</v>
      </c>
      <c r="D96" s="53">
        <v>2010</v>
      </c>
      <c r="E96" s="53" t="s">
        <v>204</v>
      </c>
      <c r="F96" s="358">
        <v>468.76829497554996</v>
      </c>
      <c r="G96" s="358">
        <v>486.8982206935955</v>
      </c>
      <c r="H96" s="358">
        <v>530.3070000000001</v>
      </c>
      <c r="I96" s="358">
        <v>509.79799999999994</v>
      </c>
      <c r="J96" s="358">
        <v>626.964</v>
      </c>
      <c r="K96" s="358">
        <v>688.183</v>
      </c>
      <c r="L96" s="358">
        <v>730.9289496310423</v>
      </c>
      <c r="M96" s="358">
        <v>792.7419501797942</v>
      </c>
      <c r="N96" s="358">
        <v>819.566974280561</v>
      </c>
      <c r="O96" s="358"/>
      <c r="P96" s="358">
        <v>845.324509691213</v>
      </c>
      <c r="Q96" s="358">
        <v>3349.1575047344413</v>
      </c>
      <c r="R96" s="359">
        <v>7.1261767461825</v>
      </c>
      <c r="S96" s="50" t="str">
        <f>IF('Region summary'!$B$5="World","Yes",IF(AND(D96=Sheet1!$F$114,'Traffic data for database'!E142=Forecast_timeframe),IF(OR(B96=Sheet1!$C$125,C96=Sheet1!$C$125,T96=Sheet1!$C$125,U96=Sheet1!$C$125),"Yes","No"),"No"))</f>
        <v>Yes</v>
      </c>
      <c r="T96" s="50" t="str">
        <f t="shared" si="6"/>
        <v>Asia Pacific</v>
      </c>
      <c r="U96" s="50" t="str">
        <f t="shared" si="7"/>
        <v>Asia Pacific</v>
      </c>
    </row>
    <row r="97" spans="1:21" ht="12.75">
      <c r="A97" s="47" t="s">
        <v>152</v>
      </c>
      <c r="B97" s="48" t="s">
        <v>105</v>
      </c>
      <c r="C97" s="48" t="s">
        <v>105</v>
      </c>
      <c r="D97" s="73">
        <v>2009</v>
      </c>
      <c r="E97" s="48" t="s">
        <v>204</v>
      </c>
      <c r="F97" s="21">
        <v>19.4</v>
      </c>
      <c r="G97" s="21">
        <v>19.9</v>
      </c>
      <c r="H97" s="21">
        <v>21.2</v>
      </c>
      <c r="I97" s="21">
        <v>22.5</v>
      </c>
      <c r="J97" s="21">
        <v>24</v>
      </c>
      <c r="K97" s="21">
        <v>26.4</v>
      </c>
      <c r="L97" s="21">
        <v>29.7</v>
      </c>
      <c r="M97" s="21">
        <v>33.94716942551028</v>
      </c>
      <c r="N97" s="21">
        <v>0</v>
      </c>
      <c r="O97" s="21"/>
      <c r="P97" s="21">
        <v>34.605645699687514</v>
      </c>
      <c r="Q97" s="181">
        <v>118.6</v>
      </c>
      <c r="R97" s="22">
        <v>6.4</v>
      </c>
      <c r="S97" s="50" t="str">
        <f>IF('Region summary'!$B$5="World","Yes",IF(AND(D97=Sheet1!$F$114,'Traffic data for database'!E143=Forecast_timeframe),IF(OR(B97=Sheet1!$C$125,C97=Sheet1!$C$125,T97=Sheet1!$C$125,U97=Sheet1!$C$125),"Yes","No"),"No"))</f>
        <v>Yes</v>
      </c>
      <c r="T97" s="50" t="str">
        <f t="shared" si="6"/>
        <v>Africa</v>
      </c>
      <c r="U97" s="50" t="str">
        <f t="shared" si="7"/>
        <v>Africa</v>
      </c>
    </row>
    <row r="98" spans="1:21" ht="12.75">
      <c r="A98" s="47" t="s">
        <v>154</v>
      </c>
      <c r="B98" s="48" t="s">
        <v>105</v>
      </c>
      <c r="C98" s="48" t="s">
        <v>102</v>
      </c>
      <c r="D98" s="73">
        <v>2009</v>
      </c>
      <c r="E98" s="48" t="s">
        <v>204</v>
      </c>
      <c r="F98" s="21">
        <v>99.4</v>
      </c>
      <c r="G98" s="21">
        <v>96.2</v>
      </c>
      <c r="H98" s="21">
        <v>97.2</v>
      </c>
      <c r="I98" s="21">
        <v>99.1</v>
      </c>
      <c r="J98" s="21">
        <v>105.2</v>
      </c>
      <c r="K98" s="21">
        <v>111.3</v>
      </c>
      <c r="L98" s="21">
        <v>115.2</v>
      </c>
      <c r="M98" s="21">
        <v>122.42066195248583</v>
      </c>
      <c r="N98" s="21">
        <v>0</v>
      </c>
      <c r="O98" s="21"/>
      <c r="P98" s="21">
        <v>126.33812313496536</v>
      </c>
      <c r="Q98" s="181">
        <v>359.9</v>
      </c>
      <c r="R98" s="22">
        <v>5.4</v>
      </c>
      <c r="S98" s="50" t="str">
        <f>IF('Region summary'!$B$5="World","Yes",IF(AND(D98=Sheet1!$F$114,'Traffic data for database'!E144=Forecast_timeframe),IF(OR(B98=Sheet1!$C$125,C98=Sheet1!$C$125,T98=Sheet1!$C$125,U98=Sheet1!$C$125),"Yes","No"),"No"))</f>
        <v>Yes</v>
      </c>
      <c r="T98" s="50" t="str">
        <f t="shared" si="6"/>
        <v>Africa</v>
      </c>
      <c r="U98" s="50" t="str">
        <f t="shared" si="7"/>
        <v>Europe</v>
      </c>
    </row>
    <row r="99" spans="1:21" ht="12.75">
      <c r="A99" s="47" t="s">
        <v>155</v>
      </c>
      <c r="B99" s="48" t="s">
        <v>105</v>
      </c>
      <c r="C99" s="48" t="s">
        <v>103</v>
      </c>
      <c r="D99" s="73">
        <v>2009</v>
      </c>
      <c r="E99" s="48" t="s">
        <v>204</v>
      </c>
      <c r="F99" s="21">
        <v>9.8</v>
      </c>
      <c r="G99" s="21">
        <v>10.6</v>
      </c>
      <c r="H99" s="21">
        <v>13.2</v>
      </c>
      <c r="I99" s="21">
        <v>13.9</v>
      </c>
      <c r="J99" s="21">
        <v>13.9</v>
      </c>
      <c r="K99" s="21">
        <v>16.4</v>
      </c>
      <c r="L99" s="21">
        <v>17.9</v>
      </c>
      <c r="M99" s="21">
        <v>19.86908570612802</v>
      </c>
      <c r="N99" s="21">
        <v>0</v>
      </c>
      <c r="O99" s="21"/>
      <c r="P99" s="21">
        <v>22.978715921989963</v>
      </c>
      <c r="Q99" s="181">
        <v>75.3</v>
      </c>
      <c r="R99" s="22">
        <v>6.1</v>
      </c>
      <c r="S99" s="50" t="str">
        <f>IF('Region summary'!$B$5="World","Yes",IF(AND(D99=Sheet1!$F$114,'Traffic data for database'!E145=Forecast_timeframe),IF(OR(B99=Sheet1!$C$125,C99=Sheet1!$C$125,T99=Sheet1!$C$125,U99=Sheet1!$C$125),"Yes","No"),"No"))</f>
        <v>Yes</v>
      </c>
      <c r="T99" s="50" t="str">
        <f t="shared" si="6"/>
        <v>Africa</v>
      </c>
      <c r="U99" s="50" t="str">
        <f t="shared" si="7"/>
        <v>Middle East</v>
      </c>
    </row>
    <row r="100" spans="1:21" ht="12.75">
      <c r="A100" s="47" t="s">
        <v>156</v>
      </c>
      <c r="B100" s="48" t="s">
        <v>105</v>
      </c>
      <c r="C100" s="48" t="s">
        <v>101</v>
      </c>
      <c r="D100" s="73">
        <v>2009</v>
      </c>
      <c r="E100" s="48" t="s">
        <v>204</v>
      </c>
      <c r="F100" s="21">
        <v>4.4</v>
      </c>
      <c r="G100" s="21">
        <v>4.6</v>
      </c>
      <c r="H100" s="21">
        <v>4.3</v>
      </c>
      <c r="I100" s="21">
        <v>4.4</v>
      </c>
      <c r="J100" s="21">
        <v>3.9</v>
      </c>
      <c r="K100" s="21">
        <v>3.8</v>
      </c>
      <c r="L100" s="21">
        <v>4.8</v>
      </c>
      <c r="M100" s="21">
        <v>8.284304807951733</v>
      </c>
      <c r="N100" s="21">
        <v>0</v>
      </c>
      <c r="O100" s="21"/>
      <c r="P100" s="21">
        <v>8.491412428150523</v>
      </c>
      <c r="Q100" s="181">
        <v>35.5</v>
      </c>
      <c r="R100" s="22">
        <v>7.4</v>
      </c>
      <c r="S100" s="50" t="str">
        <f>IF('Region summary'!$B$5="World","Yes",IF(AND(D100=Sheet1!$F$114,'Traffic data for database'!E146=Forecast_timeframe),IF(OR(B100=Sheet1!$C$125,C100=Sheet1!$C$125,T100=Sheet1!$C$125,U100=Sheet1!$C$125),"Yes","No"),"No"))</f>
        <v>Yes</v>
      </c>
      <c r="T100" s="50" t="str">
        <f t="shared" si="6"/>
        <v>Africa</v>
      </c>
      <c r="U100" s="50" t="str">
        <f t="shared" si="7"/>
        <v>North America</v>
      </c>
    </row>
    <row r="101" spans="1:21" ht="12.75">
      <c r="A101" s="47" t="s">
        <v>157</v>
      </c>
      <c r="B101" s="48" t="s">
        <v>105</v>
      </c>
      <c r="C101" s="48" t="s">
        <v>111</v>
      </c>
      <c r="D101" s="73">
        <v>2009</v>
      </c>
      <c r="E101" s="48" t="s">
        <v>204</v>
      </c>
      <c r="F101" s="21">
        <v>3.2</v>
      </c>
      <c r="G101" s="21">
        <v>3.4</v>
      </c>
      <c r="H101" s="21">
        <v>3.6</v>
      </c>
      <c r="I101" s="21">
        <v>3.7</v>
      </c>
      <c r="J101" s="21">
        <v>3.9</v>
      </c>
      <c r="K101" s="21">
        <v>4.7</v>
      </c>
      <c r="L101" s="21">
        <v>4.8</v>
      </c>
      <c r="M101" s="21">
        <v>5.681389958827995</v>
      </c>
      <c r="N101" s="21">
        <v>0</v>
      </c>
      <c r="O101" s="21"/>
      <c r="P101" s="21">
        <v>5.561503736854071</v>
      </c>
      <c r="Q101" s="181">
        <v>32.2</v>
      </c>
      <c r="R101" s="22">
        <v>9.2</v>
      </c>
      <c r="S101" s="50" t="str">
        <f>IF('Region summary'!$B$5="World","Yes",IF(AND(D101=Sheet1!$F$114,'Traffic data for database'!E147=Forecast_timeframe),IF(OR(B101=Sheet1!$C$125,C101=Sheet1!$C$125,T101=Sheet1!$C$125,U101=Sheet1!$C$125),"Yes","No"),"No"))</f>
        <v>Yes</v>
      </c>
      <c r="T101" s="50" t="str">
        <f t="shared" si="6"/>
        <v>Africa</v>
      </c>
      <c r="U101" s="50" t="str">
        <f t="shared" si="7"/>
        <v>Asia Pacific</v>
      </c>
    </row>
    <row r="102" spans="1:21" ht="12.75">
      <c r="A102" s="47" t="s">
        <v>158</v>
      </c>
      <c r="B102" s="48" t="s">
        <v>153</v>
      </c>
      <c r="C102" s="48" t="s">
        <v>153</v>
      </c>
      <c r="D102" s="73">
        <v>2009</v>
      </c>
      <c r="E102" s="48" t="s">
        <v>204</v>
      </c>
      <c r="F102" s="21">
        <v>24</v>
      </c>
      <c r="G102" s="21">
        <v>23</v>
      </c>
      <c r="H102" s="21">
        <v>23.4</v>
      </c>
      <c r="I102" s="21">
        <v>24.8</v>
      </c>
      <c r="J102" s="21">
        <v>26</v>
      </c>
      <c r="K102" s="21">
        <v>25.2</v>
      </c>
      <c r="L102" s="21">
        <v>26</v>
      </c>
      <c r="M102" s="21">
        <v>26.924103794277833</v>
      </c>
      <c r="N102" s="21">
        <v>0</v>
      </c>
      <c r="O102" s="21"/>
      <c r="P102" s="21">
        <v>27.69275779470322</v>
      </c>
      <c r="Q102" s="181">
        <v>88.3</v>
      </c>
      <c r="R102" s="22">
        <v>6</v>
      </c>
      <c r="S102" s="50" t="str">
        <f>IF('Region summary'!$B$5="World","Yes",IF(AND(D102=Sheet1!$F$114,'Traffic data for database'!E148=Forecast_timeframe),IF(OR(B102=Sheet1!$C$125,C102=Sheet1!$C$125,T102=Sheet1!$C$125,U102=Sheet1!$C$125),"Yes","No"),"No"))</f>
        <v>Yes</v>
      </c>
      <c r="T102" s="50" t="str">
        <f t="shared" si="6"/>
        <v>Latin America</v>
      </c>
      <c r="U102" s="50" t="str">
        <f t="shared" si="7"/>
        <v>Latin America</v>
      </c>
    </row>
    <row r="103" spans="1:21" ht="12.75">
      <c r="A103" s="47" t="s">
        <v>159</v>
      </c>
      <c r="B103" s="48" t="s">
        <v>153</v>
      </c>
      <c r="C103" s="48" t="s">
        <v>102</v>
      </c>
      <c r="D103" s="73">
        <v>2009</v>
      </c>
      <c r="E103" s="48" t="s">
        <v>204</v>
      </c>
      <c r="F103" s="21">
        <v>66.4</v>
      </c>
      <c r="G103" s="21">
        <v>69.8</v>
      </c>
      <c r="H103" s="21">
        <v>68.1</v>
      </c>
      <c r="I103" s="21">
        <v>69.8</v>
      </c>
      <c r="J103" s="21">
        <v>75.7</v>
      </c>
      <c r="K103" s="21">
        <v>80.1</v>
      </c>
      <c r="L103" s="21">
        <v>82</v>
      </c>
      <c r="M103" s="21">
        <v>85.44247323997526</v>
      </c>
      <c r="N103" s="21">
        <v>0</v>
      </c>
      <c r="O103" s="21"/>
      <c r="P103" s="21">
        <v>92.2778710991733</v>
      </c>
      <c r="Q103" s="181">
        <v>172</v>
      </c>
      <c r="R103" s="22">
        <v>3.2</v>
      </c>
      <c r="S103" s="50" t="str">
        <f>IF('Region summary'!$B$5="World","Yes",IF(AND(D103=Sheet1!$F$114,'Traffic data for database'!E149=Forecast_timeframe),IF(OR(B103=Sheet1!$C$125,C103=Sheet1!$C$125,T103=Sheet1!$C$125,U103=Sheet1!$C$125),"Yes","No"),"No"))</f>
        <v>Yes</v>
      </c>
      <c r="T103" s="50" t="str">
        <f t="shared" si="6"/>
        <v>Latin America</v>
      </c>
      <c r="U103" s="50" t="str">
        <f t="shared" si="7"/>
        <v>Europe</v>
      </c>
    </row>
    <row r="104" spans="1:21" ht="12.75">
      <c r="A104" s="47" t="s">
        <v>160</v>
      </c>
      <c r="B104" s="48" t="s">
        <v>153</v>
      </c>
      <c r="C104" s="48" t="s">
        <v>101</v>
      </c>
      <c r="D104" s="73">
        <v>2009</v>
      </c>
      <c r="E104" s="48" t="s">
        <v>204</v>
      </c>
      <c r="F104" s="21">
        <v>90.1</v>
      </c>
      <c r="G104" s="21">
        <v>88.6</v>
      </c>
      <c r="H104" s="21">
        <v>87.7</v>
      </c>
      <c r="I104" s="21">
        <v>92</v>
      </c>
      <c r="J104" s="21">
        <v>103.5</v>
      </c>
      <c r="K104" s="21">
        <v>104.9</v>
      </c>
      <c r="L104" s="21">
        <v>107.9</v>
      </c>
      <c r="M104" s="21">
        <v>116.58596172938321</v>
      </c>
      <c r="N104" s="21">
        <v>0</v>
      </c>
      <c r="O104" s="21"/>
      <c r="P104" s="21">
        <v>119.15085288742965</v>
      </c>
      <c r="Q104" s="181">
        <v>234.8</v>
      </c>
      <c r="R104" s="22">
        <v>3.5</v>
      </c>
      <c r="S104" s="50" t="str">
        <f>IF('Region summary'!$B$5="World","Yes",IF(AND(D104=Sheet1!$F$114,'Traffic data for database'!E150=Forecast_timeframe),IF(OR(B104=Sheet1!$C$125,C104=Sheet1!$C$125,T104=Sheet1!$C$125,U104=Sheet1!$C$125),"Yes","No"),"No"))</f>
        <v>Yes</v>
      </c>
      <c r="T104" s="50" t="str">
        <f t="shared" si="6"/>
        <v>Latin America</v>
      </c>
      <c r="U104" s="50" t="str">
        <f t="shared" si="7"/>
        <v>North America</v>
      </c>
    </row>
    <row r="105" spans="1:21" ht="12.75">
      <c r="A105" s="47" t="s">
        <v>162</v>
      </c>
      <c r="B105" s="48" t="s">
        <v>153</v>
      </c>
      <c r="C105" s="48" t="s">
        <v>163</v>
      </c>
      <c r="D105" s="73">
        <v>2009</v>
      </c>
      <c r="E105" s="48" t="s">
        <v>204</v>
      </c>
      <c r="F105" s="21">
        <v>7.3</v>
      </c>
      <c r="G105" s="21">
        <v>7.2</v>
      </c>
      <c r="H105" s="21">
        <v>7.1</v>
      </c>
      <c r="I105" s="21">
        <v>7.1</v>
      </c>
      <c r="J105" s="21">
        <v>8.3</v>
      </c>
      <c r="K105" s="21">
        <v>10.7</v>
      </c>
      <c r="L105" s="21">
        <v>12.7</v>
      </c>
      <c r="M105" s="21">
        <v>14.918270468398656</v>
      </c>
      <c r="N105" s="21">
        <v>0</v>
      </c>
      <c r="O105" s="21"/>
      <c r="P105" s="21">
        <v>15.813366696502577</v>
      </c>
      <c r="Q105" s="181">
        <v>52.2</v>
      </c>
      <c r="R105" s="22">
        <v>6.2</v>
      </c>
      <c r="S105" s="50" t="str">
        <f>IF('Region summary'!$B$5="World","Yes",IF(AND(D105=Sheet1!$F$114,'Traffic data for database'!E151=Forecast_timeframe),IF(OR(B105=Sheet1!$C$125,C105=Sheet1!$C$125,T105=Sheet1!$C$125,U105=Sheet1!$C$125),"Yes","No"),"No"))</f>
        <v>Yes</v>
      </c>
      <c r="T105" s="50" t="str">
        <f t="shared" si="6"/>
        <v>Latin America</v>
      </c>
      <c r="U105" s="50" t="str">
        <f t="shared" si="7"/>
        <v>Latin America</v>
      </c>
    </row>
    <row r="106" spans="1:21" ht="12.75">
      <c r="A106" s="47" t="s">
        <v>164</v>
      </c>
      <c r="B106" s="48" t="s">
        <v>108</v>
      </c>
      <c r="C106" s="48" t="s">
        <v>108</v>
      </c>
      <c r="D106" s="73">
        <v>2009</v>
      </c>
      <c r="E106" s="48" t="s">
        <v>204</v>
      </c>
      <c r="F106" s="21">
        <v>76.7</v>
      </c>
      <c r="G106" s="21">
        <v>86.9</v>
      </c>
      <c r="H106" s="21">
        <v>101.5</v>
      </c>
      <c r="I106" s="21">
        <v>106.9</v>
      </c>
      <c r="J106" s="21">
        <v>143.8</v>
      </c>
      <c r="K106" s="21">
        <v>163.8</v>
      </c>
      <c r="L106" s="21">
        <v>182.4</v>
      </c>
      <c r="M106" s="21">
        <v>210.73561883029848</v>
      </c>
      <c r="N106" s="21">
        <v>0</v>
      </c>
      <c r="O106" s="21"/>
      <c r="P106" s="21">
        <v>227.5944683367224</v>
      </c>
      <c r="Q106" s="181">
        <v>1174.9</v>
      </c>
      <c r="R106" s="22">
        <v>8.6</v>
      </c>
      <c r="S106" s="50" t="str">
        <f>IF('Region summary'!$B$5="World","Yes",IF(AND(D106=Sheet1!$F$114,'Traffic data for database'!E152=Forecast_timeframe),IF(OR(B106=Sheet1!$C$125,C106=Sheet1!$C$125,T106=Sheet1!$C$125,U106=Sheet1!$C$125),"Yes","No"),"No"))</f>
        <v>Yes</v>
      </c>
      <c r="T106" s="50" t="str">
        <f t="shared" si="6"/>
        <v>Asia Pacific</v>
      </c>
      <c r="U106" s="50" t="str">
        <f t="shared" si="7"/>
        <v>Asia Pacific</v>
      </c>
    </row>
    <row r="107" spans="1:21" ht="12.75">
      <c r="A107" s="47" t="s">
        <v>165</v>
      </c>
      <c r="B107" s="48" t="s">
        <v>108</v>
      </c>
      <c r="C107" s="48" t="s">
        <v>102</v>
      </c>
      <c r="D107" s="73">
        <v>2009</v>
      </c>
      <c r="E107" s="48" t="s">
        <v>204</v>
      </c>
      <c r="F107" s="21">
        <v>40.1</v>
      </c>
      <c r="G107" s="21">
        <v>40.2</v>
      </c>
      <c r="H107" s="21">
        <v>42.6</v>
      </c>
      <c r="I107" s="21">
        <v>37.5</v>
      </c>
      <c r="J107" s="21">
        <v>51.2</v>
      </c>
      <c r="K107" s="21">
        <v>60.9</v>
      </c>
      <c r="L107" s="21">
        <v>73.9</v>
      </c>
      <c r="M107" s="21">
        <v>77.43227626075634</v>
      </c>
      <c r="N107" s="21">
        <v>0</v>
      </c>
      <c r="O107" s="21"/>
      <c r="P107" s="21">
        <v>77.89686991832087</v>
      </c>
      <c r="Q107" s="181">
        <v>235.1</v>
      </c>
      <c r="R107" s="22">
        <v>5.7</v>
      </c>
      <c r="S107" s="50" t="str">
        <f>IF('Region summary'!$B$5="World","Yes",IF(AND(D107=Sheet1!$F$114,'Traffic data for database'!E153=Forecast_timeframe),IF(OR(B107=Sheet1!$C$125,C107=Sheet1!$C$125,T107=Sheet1!$C$125,U107=Sheet1!$C$125),"Yes","No"),"No"))</f>
        <v>Yes</v>
      </c>
      <c r="T107" s="50" t="str">
        <f t="shared" si="6"/>
        <v>Asia Pacific</v>
      </c>
      <c r="U107" s="50" t="str">
        <f t="shared" si="7"/>
        <v>Europe</v>
      </c>
    </row>
    <row r="108" spans="1:21" ht="12.75">
      <c r="A108" s="47" t="s">
        <v>166</v>
      </c>
      <c r="B108" s="48" t="s">
        <v>108</v>
      </c>
      <c r="C108" s="48" t="s">
        <v>101</v>
      </c>
      <c r="D108" s="73">
        <v>2009</v>
      </c>
      <c r="E108" s="48" t="s">
        <v>204</v>
      </c>
      <c r="F108" s="21">
        <v>33.2</v>
      </c>
      <c r="G108" s="21">
        <v>36.2</v>
      </c>
      <c r="H108" s="21">
        <v>33.2</v>
      </c>
      <c r="I108" s="21">
        <v>24.9</v>
      </c>
      <c r="J108" s="21">
        <v>34.4</v>
      </c>
      <c r="K108" s="21">
        <v>40.2</v>
      </c>
      <c r="L108" s="21">
        <v>48.5</v>
      </c>
      <c r="M108" s="21">
        <v>56.43350633156835</v>
      </c>
      <c r="N108" s="21">
        <v>0</v>
      </c>
      <c r="O108" s="21"/>
      <c r="P108" s="21">
        <v>57.22357542021032</v>
      </c>
      <c r="Q108" s="181">
        <v>182.3</v>
      </c>
      <c r="R108" s="22">
        <v>6</v>
      </c>
      <c r="S108" s="50" t="str">
        <f>IF('Region summary'!$B$5="World","Yes",IF(AND(D108=Sheet1!$F$114,'Traffic data for database'!E154=Forecast_timeframe),IF(OR(B108=Sheet1!$C$125,C108=Sheet1!$C$125,T108=Sheet1!$C$125,U108=Sheet1!$C$125),"Yes","No"),"No"))</f>
        <v>Yes</v>
      </c>
      <c r="T108" s="50" t="str">
        <f t="shared" si="6"/>
        <v>Asia Pacific</v>
      </c>
      <c r="U108" s="50" t="str">
        <f t="shared" si="7"/>
        <v>North America</v>
      </c>
    </row>
    <row r="109" spans="1:21" ht="12.75">
      <c r="A109" s="47" t="s">
        <v>167</v>
      </c>
      <c r="B109" s="48" t="s">
        <v>108</v>
      </c>
      <c r="C109" s="48" t="s">
        <v>110</v>
      </c>
      <c r="D109" s="73">
        <v>2009</v>
      </c>
      <c r="E109" s="48" t="s">
        <v>204</v>
      </c>
      <c r="F109" s="21">
        <v>19.4</v>
      </c>
      <c r="G109" s="21">
        <v>18.4</v>
      </c>
      <c r="H109" s="21">
        <v>24.5</v>
      </c>
      <c r="I109" s="21">
        <v>20.1</v>
      </c>
      <c r="J109" s="21">
        <v>27.3</v>
      </c>
      <c r="K109" s="21">
        <v>29</v>
      </c>
      <c r="L109" s="21">
        <v>30</v>
      </c>
      <c r="M109" s="21">
        <v>35.68048989951509</v>
      </c>
      <c r="N109" s="21">
        <v>0</v>
      </c>
      <c r="O109" s="21"/>
      <c r="P109" s="21">
        <v>33.34817583010065</v>
      </c>
      <c r="Q109" s="181">
        <v>101.9</v>
      </c>
      <c r="R109" s="22">
        <v>5.7</v>
      </c>
      <c r="S109" s="50" t="str">
        <f>IF('Region summary'!$B$5="World","Yes",IF(AND(D109=Sheet1!$F$114,'Traffic data for database'!E155=Forecast_timeframe),IF(OR(B109=Sheet1!$C$125,C109=Sheet1!$C$125,T109=Sheet1!$C$125,U109=Sheet1!$C$125),"Yes","No"),"No"))</f>
        <v>Yes</v>
      </c>
      <c r="T109" s="50" t="str">
        <f t="shared" si="6"/>
        <v>Asia Pacific</v>
      </c>
      <c r="U109" s="50" t="str">
        <f t="shared" si="7"/>
        <v>Asia Pacific</v>
      </c>
    </row>
    <row r="110" spans="1:21" ht="12.75">
      <c r="A110" s="47" t="s">
        <v>214</v>
      </c>
      <c r="B110" s="48" t="s">
        <v>108</v>
      </c>
      <c r="C110" s="48" t="s">
        <v>109</v>
      </c>
      <c r="D110" s="73">
        <v>2009</v>
      </c>
      <c r="E110" s="48" t="s">
        <v>204</v>
      </c>
      <c r="F110" s="21">
        <v>12.1</v>
      </c>
      <c r="G110" s="21">
        <v>12.4</v>
      </c>
      <c r="H110" s="21">
        <v>13.2</v>
      </c>
      <c r="I110" s="21">
        <v>10.6</v>
      </c>
      <c r="J110" s="21">
        <v>15</v>
      </c>
      <c r="K110" s="21">
        <v>17.1</v>
      </c>
      <c r="L110" s="21">
        <v>19.3</v>
      </c>
      <c r="M110" s="21">
        <v>20.36693999061822</v>
      </c>
      <c r="N110" s="21">
        <v>0</v>
      </c>
      <c r="O110" s="21"/>
      <c r="P110" s="21">
        <v>22.383267049689422</v>
      </c>
      <c r="Q110" s="181">
        <v>71.1</v>
      </c>
      <c r="R110" s="22">
        <v>5.9</v>
      </c>
      <c r="S110" s="50" t="str">
        <f>IF('Region summary'!$B$5="World","Yes",IF(AND(D110=Sheet1!$F$114,'Traffic data for database'!E156=Forecast_timeframe),IF(OR(B110=Sheet1!$C$125,C110=Sheet1!$C$125,T110=Sheet1!$C$125,U110=Sheet1!$C$125),"Yes","No"),"No"))</f>
        <v>Yes</v>
      </c>
      <c r="T110" s="50" t="str">
        <f t="shared" si="6"/>
        <v>Asia Pacific</v>
      </c>
      <c r="U110" s="50" t="str">
        <f t="shared" si="7"/>
        <v>Asia Pacific</v>
      </c>
    </row>
    <row r="111" spans="1:21" ht="12.75">
      <c r="A111" s="47" t="s">
        <v>169</v>
      </c>
      <c r="B111" s="48" t="s">
        <v>108</v>
      </c>
      <c r="C111" s="48" t="s">
        <v>111</v>
      </c>
      <c r="D111" s="73">
        <v>2009</v>
      </c>
      <c r="E111" s="48" t="s">
        <v>204</v>
      </c>
      <c r="F111" s="21">
        <v>29.3</v>
      </c>
      <c r="G111" s="21">
        <v>31.7</v>
      </c>
      <c r="H111" s="21">
        <v>36.9</v>
      </c>
      <c r="I111" s="21">
        <v>27.7</v>
      </c>
      <c r="J111" s="21">
        <v>41.2</v>
      </c>
      <c r="K111" s="21">
        <v>48.9</v>
      </c>
      <c r="L111" s="21">
        <v>48.6</v>
      </c>
      <c r="M111" s="21">
        <v>52.14451760754986</v>
      </c>
      <c r="N111" s="21">
        <v>0</v>
      </c>
      <c r="O111" s="21"/>
      <c r="P111" s="21">
        <v>50.41333635181011</v>
      </c>
      <c r="Q111" s="181">
        <v>145.7</v>
      </c>
      <c r="R111" s="22">
        <v>5.5</v>
      </c>
      <c r="S111" s="50" t="str">
        <f>IF('Region summary'!$B$5="World","Yes",IF(AND(D111=Sheet1!$F$114,'Traffic data for database'!E157=Forecast_timeframe),IF(OR(B111=Sheet1!$C$125,C111=Sheet1!$C$125,T111=Sheet1!$C$125,U111=Sheet1!$C$125),"Yes","No"),"No"))</f>
        <v>Yes</v>
      </c>
      <c r="T111" s="50" t="str">
        <f t="shared" si="6"/>
        <v>Asia Pacific</v>
      </c>
      <c r="U111" s="50" t="str">
        <f aca="true" t="shared" si="8" ref="U111:U142">VLOOKUP(C111,$X$5:$Y$23,2,FALSE)</f>
        <v>Asia Pacific</v>
      </c>
    </row>
    <row r="112" spans="1:21" ht="12.75">
      <c r="A112" s="47" t="s">
        <v>212</v>
      </c>
      <c r="B112" s="48" t="s">
        <v>57</v>
      </c>
      <c r="C112" s="48" t="s">
        <v>57</v>
      </c>
      <c r="D112" s="73">
        <v>2009</v>
      </c>
      <c r="E112" s="48" t="s">
        <v>204</v>
      </c>
      <c r="F112" s="21">
        <v>39.4</v>
      </c>
      <c r="G112" s="21">
        <v>43.5</v>
      </c>
      <c r="H112" s="21">
        <v>46.9</v>
      </c>
      <c r="I112" s="21">
        <v>50.2</v>
      </c>
      <c r="J112" s="21">
        <v>54.7</v>
      </c>
      <c r="K112" s="21">
        <v>56</v>
      </c>
      <c r="L112" s="21">
        <v>57.3</v>
      </c>
      <c r="M112" s="21">
        <v>57.71724433946208</v>
      </c>
      <c r="N112" s="21">
        <v>0</v>
      </c>
      <c r="O112" s="21"/>
      <c r="P112" s="21">
        <v>61.35343073284819</v>
      </c>
      <c r="Q112" s="181">
        <v>177.5</v>
      </c>
      <c r="R112" s="22">
        <v>5.5</v>
      </c>
      <c r="S112" s="50" t="str">
        <f>IF('Region summary'!$B$5="World","Yes",IF(AND(D112=Sheet1!$F$114,'Traffic data for database'!E158=Forecast_timeframe),IF(OR(B112=Sheet1!$C$125,C112=Sheet1!$C$125,T112=Sheet1!$C$125,U112=Sheet1!$C$125),"Yes","No"),"No"))</f>
        <v>Yes</v>
      </c>
      <c r="T112" s="50" t="str">
        <f t="shared" si="6"/>
        <v>C.I.S.</v>
      </c>
      <c r="U112" s="50" t="str">
        <f t="shared" si="8"/>
        <v>C.I.S.</v>
      </c>
    </row>
    <row r="113" spans="1:21" ht="12.75">
      <c r="A113" s="47" t="s">
        <v>170</v>
      </c>
      <c r="B113" s="48" t="s">
        <v>57</v>
      </c>
      <c r="C113" s="48" t="s">
        <v>171</v>
      </c>
      <c r="D113" s="73">
        <v>2009</v>
      </c>
      <c r="E113" s="48" t="s">
        <v>204</v>
      </c>
      <c r="F113" s="21">
        <v>42.9</v>
      </c>
      <c r="G113" s="21">
        <v>48.1</v>
      </c>
      <c r="H113" s="21">
        <v>51.4</v>
      </c>
      <c r="I113" s="21">
        <v>56.4</v>
      </c>
      <c r="J113" s="21">
        <v>63</v>
      </c>
      <c r="K113" s="21">
        <v>65.2</v>
      </c>
      <c r="L113" s="21">
        <v>66.6</v>
      </c>
      <c r="M113" s="21">
        <v>74.57900704587047</v>
      </c>
      <c r="N113" s="21">
        <v>0</v>
      </c>
      <c r="O113" s="21"/>
      <c r="P113" s="21">
        <v>85.66529578756672</v>
      </c>
      <c r="Q113" s="181">
        <v>232.2</v>
      </c>
      <c r="R113" s="22">
        <v>5.1</v>
      </c>
      <c r="S113" s="50" t="str">
        <f>IF('Region summary'!$B$5="World","Yes",IF(AND(D113=Sheet1!$F$114,'Traffic data for database'!E159=Forecast_timeframe),IF(OR(B113=Sheet1!$C$125,C113=Sheet1!$C$125,T113=Sheet1!$C$125,U113=Sheet1!$C$125),"Yes","No"),"No"))</f>
        <v>Yes</v>
      </c>
      <c r="T113" s="50" t="str">
        <f t="shared" si="6"/>
        <v>C.I.S.</v>
      </c>
      <c r="U113" s="50" t="str">
        <f t="shared" si="8"/>
        <v>International</v>
      </c>
    </row>
    <row r="114" spans="1:21" ht="12.75">
      <c r="A114" s="47" t="s">
        <v>172</v>
      </c>
      <c r="B114" s="48" t="s">
        <v>102</v>
      </c>
      <c r="C114" s="48" t="s">
        <v>102</v>
      </c>
      <c r="D114" s="73">
        <v>2009</v>
      </c>
      <c r="E114" s="48" t="s">
        <v>204</v>
      </c>
      <c r="F114" s="21">
        <v>440.1</v>
      </c>
      <c r="G114" s="21">
        <v>449.3</v>
      </c>
      <c r="H114" s="21">
        <v>453.8</v>
      </c>
      <c r="I114" s="21">
        <v>474.7</v>
      </c>
      <c r="J114" s="21">
        <v>521.2</v>
      </c>
      <c r="K114" s="21">
        <v>561.9</v>
      </c>
      <c r="L114" s="21">
        <v>593.3</v>
      </c>
      <c r="M114" s="21">
        <v>634.2140393719126</v>
      </c>
      <c r="N114" s="21">
        <v>0</v>
      </c>
      <c r="O114" s="21"/>
      <c r="P114" s="21">
        <v>661.846745067347</v>
      </c>
      <c r="Q114" s="181">
        <v>1279.5</v>
      </c>
      <c r="R114" s="22">
        <v>3.4</v>
      </c>
      <c r="S114" s="50" t="str">
        <f>IF('Region summary'!$B$5="World","Yes",IF(AND(D114=Sheet1!$F$114,'Traffic data for database'!E160=Forecast_timeframe),IF(OR(B114=Sheet1!$C$125,C114=Sheet1!$C$125,T114=Sheet1!$C$125,U114=Sheet1!$C$125),"Yes","No"),"No"))</f>
        <v>Yes</v>
      </c>
      <c r="T114" s="50" t="str">
        <f t="shared" si="6"/>
        <v>Europe</v>
      </c>
      <c r="U114" s="50" t="str">
        <f t="shared" si="8"/>
        <v>Europe</v>
      </c>
    </row>
    <row r="115" spans="1:21" ht="12.75">
      <c r="A115" s="47" t="s">
        <v>173</v>
      </c>
      <c r="B115" s="48" t="s">
        <v>102</v>
      </c>
      <c r="C115" s="48" t="s">
        <v>103</v>
      </c>
      <c r="D115" s="73">
        <v>2009</v>
      </c>
      <c r="E115" s="48" t="s">
        <v>204</v>
      </c>
      <c r="F115" s="21">
        <v>65</v>
      </c>
      <c r="G115" s="21">
        <v>59.8</v>
      </c>
      <c r="H115" s="21">
        <v>58.6</v>
      </c>
      <c r="I115" s="21">
        <v>58.9</v>
      </c>
      <c r="J115" s="21">
        <v>67.7</v>
      </c>
      <c r="K115" s="21">
        <v>74.1</v>
      </c>
      <c r="L115" s="21">
        <v>88.3</v>
      </c>
      <c r="M115" s="21">
        <v>105.15110416533173</v>
      </c>
      <c r="N115" s="21">
        <v>0</v>
      </c>
      <c r="O115" s="21"/>
      <c r="P115" s="21">
        <v>113.77349470688894</v>
      </c>
      <c r="Q115" s="181">
        <v>329.8</v>
      </c>
      <c r="R115" s="22">
        <v>5.5</v>
      </c>
      <c r="S115" s="50" t="str">
        <f>IF('Region summary'!$B$5="World","Yes",IF(AND(D115=Sheet1!$F$114,'Traffic data for database'!E161=Forecast_timeframe),IF(OR(B115=Sheet1!$C$125,C115=Sheet1!$C$125,T115=Sheet1!$C$125,U115=Sheet1!$C$125),"Yes","No"),"No"))</f>
        <v>Yes</v>
      </c>
      <c r="T115" s="50" t="str">
        <f t="shared" si="6"/>
        <v>Europe</v>
      </c>
      <c r="U115" s="50" t="str">
        <f t="shared" si="8"/>
        <v>Middle East</v>
      </c>
    </row>
    <row r="116" spans="1:21" ht="12.75">
      <c r="A116" s="47" t="s">
        <v>174</v>
      </c>
      <c r="B116" s="48" t="s">
        <v>102</v>
      </c>
      <c r="C116" s="48" t="s">
        <v>101</v>
      </c>
      <c r="D116" s="73">
        <v>2009</v>
      </c>
      <c r="E116" s="48" t="s">
        <v>204</v>
      </c>
      <c r="F116" s="21">
        <v>420</v>
      </c>
      <c r="G116" s="21">
        <v>373.8</v>
      </c>
      <c r="H116" s="21">
        <v>346</v>
      </c>
      <c r="I116" s="21">
        <v>349.5</v>
      </c>
      <c r="J116" s="21">
        <v>375.7</v>
      </c>
      <c r="K116" s="21">
        <v>390.7</v>
      </c>
      <c r="L116" s="21">
        <v>403.4</v>
      </c>
      <c r="M116" s="21">
        <v>420.6086177733024</v>
      </c>
      <c r="N116" s="21">
        <v>0</v>
      </c>
      <c r="O116" s="21"/>
      <c r="P116" s="21">
        <v>433.22687630650137</v>
      </c>
      <c r="Q116" s="181">
        <v>1055.7</v>
      </c>
      <c r="R116" s="22">
        <v>4.6</v>
      </c>
      <c r="S116" s="50" t="str">
        <f>IF('Region summary'!$B$5="World","Yes",IF(AND(D116=Sheet1!$F$114,'Traffic data for database'!E162=Forecast_timeframe),IF(OR(B116=Sheet1!$C$125,C116=Sheet1!$C$125,T116=Sheet1!$C$125,U116=Sheet1!$C$125),"Yes","No"),"No"))</f>
        <v>Yes</v>
      </c>
      <c r="T116" s="50" t="str">
        <f t="shared" si="6"/>
        <v>Europe</v>
      </c>
      <c r="U116" s="50" t="str">
        <f t="shared" si="8"/>
        <v>North America</v>
      </c>
    </row>
    <row r="117" spans="1:21" ht="12.75">
      <c r="A117" s="47" t="s">
        <v>175</v>
      </c>
      <c r="B117" s="48" t="s">
        <v>102</v>
      </c>
      <c r="C117" s="48" t="s">
        <v>110</v>
      </c>
      <c r="D117" s="73">
        <v>2009</v>
      </c>
      <c r="E117" s="48" t="s">
        <v>204</v>
      </c>
      <c r="F117" s="21">
        <v>63.6</v>
      </c>
      <c r="G117" s="21">
        <v>55.8</v>
      </c>
      <c r="H117" s="21">
        <v>53.3</v>
      </c>
      <c r="I117" s="21">
        <v>48.3</v>
      </c>
      <c r="J117" s="21">
        <v>59.8</v>
      </c>
      <c r="K117" s="21">
        <v>61</v>
      </c>
      <c r="L117" s="21">
        <v>61.8</v>
      </c>
      <c r="M117" s="21">
        <v>68.28467854849141</v>
      </c>
      <c r="N117" s="21">
        <v>0</v>
      </c>
      <c r="O117" s="21"/>
      <c r="P117" s="21">
        <v>68.69438661978236</v>
      </c>
      <c r="Q117" s="181">
        <v>163.1</v>
      </c>
      <c r="R117" s="22">
        <v>4.4</v>
      </c>
      <c r="S117" s="50" t="str">
        <f>IF('Region summary'!$B$5="World","Yes",IF(AND(D117=Sheet1!$F$114,'Traffic data for database'!E163=Forecast_timeframe),IF(OR(B117=Sheet1!$C$125,C117=Sheet1!$C$125,T117=Sheet1!$C$125,U117=Sheet1!$C$125),"Yes","No"),"No"))</f>
        <v>Yes</v>
      </c>
      <c r="T117" s="50" t="str">
        <f t="shared" si="6"/>
        <v>Europe</v>
      </c>
      <c r="U117" s="50" t="str">
        <f t="shared" si="8"/>
        <v>Asia Pacific</v>
      </c>
    </row>
    <row r="118" spans="1:21" ht="12.75">
      <c r="A118" s="47" t="s">
        <v>176</v>
      </c>
      <c r="B118" s="48" t="s">
        <v>102</v>
      </c>
      <c r="C118" s="48" t="s">
        <v>163</v>
      </c>
      <c r="D118" s="73">
        <v>2009</v>
      </c>
      <c r="E118" s="48" t="s">
        <v>204</v>
      </c>
      <c r="F118" s="21">
        <v>53.2</v>
      </c>
      <c r="G118" s="21">
        <v>52.1</v>
      </c>
      <c r="H118" s="21">
        <v>49.2</v>
      </c>
      <c r="I118" s="21">
        <v>49.5</v>
      </c>
      <c r="J118" s="21">
        <v>57.9</v>
      </c>
      <c r="K118" s="21">
        <v>65.4</v>
      </c>
      <c r="L118" s="21">
        <v>71.7</v>
      </c>
      <c r="M118" s="21">
        <v>78.65164532480156</v>
      </c>
      <c r="N118" s="21">
        <v>0</v>
      </c>
      <c r="O118" s="21"/>
      <c r="P118" s="21">
        <v>84.94377695078572</v>
      </c>
      <c r="Q118" s="181">
        <v>241.1</v>
      </c>
      <c r="R118" s="22">
        <v>5.4</v>
      </c>
      <c r="S118" s="50" t="str">
        <f>IF('Region summary'!$B$5="World","Yes",IF(AND(D118=Sheet1!$F$114,'Traffic data for database'!E164=Forecast_timeframe),IF(OR(B118=Sheet1!$C$125,C118=Sheet1!$C$125,T118=Sheet1!$C$125,U118=Sheet1!$C$125),"Yes","No"),"No"))</f>
        <v>Yes</v>
      </c>
      <c r="T118" s="50" t="str">
        <f t="shared" si="6"/>
        <v>Europe</v>
      </c>
      <c r="U118" s="50" t="str">
        <f t="shared" si="8"/>
        <v>Latin America</v>
      </c>
    </row>
    <row r="119" spans="1:21" ht="12.75">
      <c r="A119" s="47" t="s">
        <v>177</v>
      </c>
      <c r="B119" s="48" t="s">
        <v>102</v>
      </c>
      <c r="C119" s="48" t="s">
        <v>111</v>
      </c>
      <c r="D119" s="73">
        <v>2009</v>
      </c>
      <c r="E119" s="48" t="s">
        <v>204</v>
      </c>
      <c r="F119" s="21">
        <v>95.8</v>
      </c>
      <c r="G119" s="21">
        <v>95.9</v>
      </c>
      <c r="H119" s="21">
        <v>96.4</v>
      </c>
      <c r="I119" s="21">
        <v>95</v>
      </c>
      <c r="J119" s="21">
        <v>104.5</v>
      </c>
      <c r="K119" s="21">
        <v>111.3</v>
      </c>
      <c r="L119" s="21">
        <v>110.3</v>
      </c>
      <c r="M119" s="21">
        <v>108.27698667584521</v>
      </c>
      <c r="N119" s="21">
        <v>0</v>
      </c>
      <c r="O119" s="21"/>
      <c r="P119" s="21">
        <v>108.92664859590029</v>
      </c>
      <c r="Q119" s="181">
        <v>327.4</v>
      </c>
      <c r="R119" s="22">
        <v>5.7</v>
      </c>
      <c r="S119" s="50" t="str">
        <f>IF('Region summary'!$B$5="World","Yes",IF(AND(D119=Sheet1!$F$114,'Traffic data for database'!E165=Forecast_timeframe),IF(OR(B119=Sheet1!$C$125,C119=Sheet1!$C$125,T119=Sheet1!$C$125,U119=Sheet1!$C$125),"Yes","No"),"No"))</f>
        <v>Yes</v>
      </c>
      <c r="T119" s="50" t="str">
        <f t="shared" si="6"/>
        <v>Europe</v>
      </c>
      <c r="U119" s="50" t="str">
        <f t="shared" si="8"/>
        <v>Asia Pacific</v>
      </c>
    </row>
    <row r="120" spans="1:21" ht="12.75">
      <c r="A120" s="47" t="s">
        <v>653</v>
      </c>
      <c r="B120" s="48" t="s">
        <v>102</v>
      </c>
      <c r="C120" s="48" t="s">
        <v>649</v>
      </c>
      <c r="D120" s="73">
        <v>2009</v>
      </c>
      <c r="E120" s="48" t="s">
        <v>204</v>
      </c>
      <c r="F120" s="21">
        <v>26.2</v>
      </c>
      <c r="G120" s="21">
        <v>27.5</v>
      </c>
      <c r="H120" s="21">
        <v>27.6</v>
      </c>
      <c r="I120" s="21">
        <v>29.5</v>
      </c>
      <c r="J120" s="21">
        <v>35.7</v>
      </c>
      <c r="K120" s="21">
        <v>44.3</v>
      </c>
      <c r="L120" s="21">
        <v>54.1</v>
      </c>
      <c r="M120" s="21">
        <v>54.26965835337608</v>
      </c>
      <c r="N120" s="21">
        <v>0</v>
      </c>
      <c r="O120" s="21"/>
      <c r="P120" s="21">
        <v>53.56116109867831</v>
      </c>
      <c r="Q120" s="181">
        <v>174.6</v>
      </c>
      <c r="R120" s="22">
        <v>6.1</v>
      </c>
      <c r="S120" s="50" t="str">
        <f>IF('Region summary'!$B$5="World","Yes",IF(AND(D120=Sheet1!$F$114,'Traffic data for database'!E166=Forecast_timeframe),IF(OR(B120=Sheet1!$C$125,C120=Sheet1!$C$125,T120=Sheet1!$C$125,U120=Sheet1!$C$125),"Yes","No"),"No"))</f>
        <v>Yes</v>
      </c>
      <c r="T120" s="50" t="str">
        <f t="shared" si="6"/>
        <v>Europe</v>
      </c>
      <c r="U120" s="50" t="str">
        <f t="shared" si="8"/>
        <v>Asia Pacific</v>
      </c>
    </row>
    <row r="121" spans="1:21" ht="12.75">
      <c r="A121" s="47" t="s">
        <v>178</v>
      </c>
      <c r="B121" s="48" t="s">
        <v>103</v>
      </c>
      <c r="C121" s="48" t="s">
        <v>103</v>
      </c>
      <c r="D121" s="73">
        <v>2009</v>
      </c>
      <c r="E121" s="48" t="s">
        <v>204</v>
      </c>
      <c r="F121" s="21">
        <v>27.8</v>
      </c>
      <c r="G121" s="21">
        <v>27.1</v>
      </c>
      <c r="H121" s="21">
        <v>27.5</v>
      </c>
      <c r="I121" s="21">
        <v>28.1</v>
      </c>
      <c r="J121" s="21">
        <v>32</v>
      </c>
      <c r="K121" s="21">
        <v>34</v>
      </c>
      <c r="L121" s="21">
        <v>36.3</v>
      </c>
      <c r="M121" s="21">
        <v>39.55733629763501</v>
      </c>
      <c r="N121" s="21">
        <v>0</v>
      </c>
      <c r="O121" s="21"/>
      <c r="P121" s="21">
        <v>41.7954903853552</v>
      </c>
      <c r="Q121" s="181">
        <v>140</v>
      </c>
      <c r="R121" s="22">
        <v>6.2</v>
      </c>
      <c r="S121" s="50" t="str">
        <f>IF('Region summary'!$B$5="World","Yes",IF(AND(D121=Sheet1!$F$114,'Traffic data for database'!E167=Forecast_timeframe),IF(OR(B121=Sheet1!$C$125,C121=Sheet1!$C$125,T121=Sheet1!$C$125,U121=Sheet1!$C$125),"Yes","No"),"No"))</f>
        <v>Yes</v>
      </c>
      <c r="T121" s="50" t="str">
        <f t="shared" si="6"/>
        <v>Middle East</v>
      </c>
      <c r="U121" s="50" t="str">
        <f t="shared" si="8"/>
        <v>Middle East</v>
      </c>
    </row>
    <row r="122" spans="1:21" ht="12.75">
      <c r="A122" s="47" t="s">
        <v>179</v>
      </c>
      <c r="B122" s="48" t="s">
        <v>103</v>
      </c>
      <c r="C122" s="48" t="s">
        <v>101</v>
      </c>
      <c r="D122" s="73">
        <v>2009</v>
      </c>
      <c r="E122" s="48" t="s">
        <v>204</v>
      </c>
      <c r="F122" s="21">
        <v>16.1</v>
      </c>
      <c r="G122" s="21">
        <v>12</v>
      </c>
      <c r="H122" s="21">
        <v>10.4</v>
      </c>
      <c r="I122" s="21">
        <v>9.6</v>
      </c>
      <c r="J122" s="21">
        <v>12.6</v>
      </c>
      <c r="K122" s="21">
        <v>14.4</v>
      </c>
      <c r="L122" s="21">
        <v>19.5</v>
      </c>
      <c r="M122" s="21">
        <v>30.06401540526904</v>
      </c>
      <c r="N122" s="21">
        <v>0</v>
      </c>
      <c r="O122" s="21"/>
      <c r="P122" s="21">
        <v>34.844193854706816</v>
      </c>
      <c r="Q122" s="181">
        <v>133.1</v>
      </c>
      <c r="R122" s="22">
        <v>6.9</v>
      </c>
      <c r="S122" s="50" t="str">
        <f>IF('Region summary'!$B$5="World","Yes",IF(AND(D122=Sheet1!$F$114,'Traffic data for database'!E168=Forecast_timeframe),IF(OR(B122=Sheet1!$C$125,C122=Sheet1!$C$125,T122=Sheet1!$C$125,U122=Sheet1!$C$125),"Yes","No"),"No"))</f>
        <v>Yes</v>
      </c>
      <c r="T122" s="50" t="str">
        <f t="shared" si="6"/>
        <v>Middle East</v>
      </c>
      <c r="U122" s="50" t="str">
        <f t="shared" si="8"/>
        <v>North America</v>
      </c>
    </row>
    <row r="123" spans="1:21" ht="12.75">
      <c r="A123" s="47" t="s">
        <v>180</v>
      </c>
      <c r="B123" s="48" t="s">
        <v>103</v>
      </c>
      <c r="C123" s="48" t="s">
        <v>111</v>
      </c>
      <c r="D123" s="73">
        <v>2009</v>
      </c>
      <c r="E123" s="48" t="s">
        <v>204</v>
      </c>
      <c r="F123" s="21">
        <v>24</v>
      </c>
      <c r="G123" s="21">
        <v>22.9</v>
      </c>
      <c r="H123" s="21">
        <v>24</v>
      </c>
      <c r="I123" s="21">
        <v>26.4</v>
      </c>
      <c r="J123" s="21">
        <v>29.2</v>
      </c>
      <c r="K123" s="21">
        <v>33.3</v>
      </c>
      <c r="L123" s="21">
        <v>38.3</v>
      </c>
      <c r="M123" s="21">
        <v>45.102250486901326</v>
      </c>
      <c r="N123" s="21">
        <v>0</v>
      </c>
      <c r="O123" s="21"/>
      <c r="P123" s="21">
        <v>45.744132929080386</v>
      </c>
      <c r="Q123" s="181">
        <v>165</v>
      </c>
      <c r="R123" s="22">
        <v>6.6</v>
      </c>
      <c r="S123" s="50" t="str">
        <f>IF('Region summary'!$B$5="World","Yes",IF(AND(D123=Sheet1!$F$114,'Traffic data for database'!E169=Forecast_timeframe),IF(OR(B123=Sheet1!$C$125,C123=Sheet1!$C$125,T123=Sheet1!$C$125,U123=Sheet1!$C$125),"Yes","No"),"No"))</f>
        <v>Yes</v>
      </c>
      <c r="T123" s="50" t="str">
        <f t="shared" si="6"/>
        <v>Middle East</v>
      </c>
      <c r="U123" s="50" t="str">
        <f t="shared" si="8"/>
        <v>Asia Pacific</v>
      </c>
    </row>
    <row r="124" spans="1:21" ht="12.75">
      <c r="A124" s="47" t="s">
        <v>654</v>
      </c>
      <c r="B124" s="48" t="s">
        <v>103</v>
      </c>
      <c r="C124" s="48" t="s">
        <v>649</v>
      </c>
      <c r="D124" s="73">
        <v>2009</v>
      </c>
      <c r="E124" s="48" t="s">
        <v>204</v>
      </c>
      <c r="F124" s="21">
        <v>29.4</v>
      </c>
      <c r="G124" s="21">
        <v>29.9</v>
      </c>
      <c r="H124" s="21">
        <v>31.1</v>
      </c>
      <c r="I124" s="21">
        <v>33.8</v>
      </c>
      <c r="J124" s="21">
        <v>35.6</v>
      </c>
      <c r="K124" s="21">
        <v>38.3</v>
      </c>
      <c r="L124" s="21">
        <v>44</v>
      </c>
      <c r="M124" s="21">
        <v>48.816522739431484</v>
      </c>
      <c r="N124" s="21">
        <v>0</v>
      </c>
      <c r="O124" s="21"/>
      <c r="P124" s="21">
        <v>58.17922865054895</v>
      </c>
      <c r="Q124" s="181">
        <v>188.1</v>
      </c>
      <c r="R124" s="22">
        <v>6</v>
      </c>
      <c r="S124" s="50" t="str">
        <f>IF('Region summary'!$B$5="World","Yes",IF(AND(D124=Sheet1!$F$114,'Traffic data for database'!E170=Forecast_timeframe),IF(OR(B124=Sheet1!$C$125,C124=Sheet1!$C$125,T124=Sheet1!$C$125,U124=Sheet1!$C$125),"Yes","No"),"No"))</f>
        <v>Yes</v>
      </c>
      <c r="T124" s="50" t="str">
        <f t="shared" si="6"/>
        <v>Middle East</v>
      </c>
      <c r="U124" s="50" t="str">
        <f t="shared" si="8"/>
        <v>Asia Pacific</v>
      </c>
    </row>
    <row r="125" spans="1:21" ht="12.75">
      <c r="A125" s="47" t="s">
        <v>181</v>
      </c>
      <c r="B125" s="48" t="s">
        <v>101</v>
      </c>
      <c r="C125" s="48" t="s">
        <v>101</v>
      </c>
      <c r="D125" s="73">
        <v>2009</v>
      </c>
      <c r="E125" s="48" t="s">
        <v>204</v>
      </c>
      <c r="F125" s="21">
        <v>857.5</v>
      </c>
      <c r="G125" s="21">
        <v>812.8</v>
      </c>
      <c r="H125" s="21">
        <v>783.5</v>
      </c>
      <c r="I125" s="21">
        <v>828.3</v>
      </c>
      <c r="J125" s="21">
        <v>927.7</v>
      </c>
      <c r="K125" s="21">
        <v>972.3</v>
      </c>
      <c r="L125" s="21">
        <v>977.4</v>
      </c>
      <c r="M125" s="21">
        <v>1022.412789897166</v>
      </c>
      <c r="N125" s="21">
        <v>0</v>
      </c>
      <c r="O125" s="21"/>
      <c r="P125" s="21">
        <v>975.9863440204344</v>
      </c>
      <c r="Q125" s="181">
        <v>1583.8</v>
      </c>
      <c r="R125" s="22">
        <v>2.5</v>
      </c>
      <c r="S125" s="50" t="str">
        <f>IF('Region summary'!$B$5="World","Yes",IF(AND(D125=Sheet1!$F$114,'Traffic data for database'!E171=Forecast_timeframe),IF(OR(B125=Sheet1!$C$125,C125=Sheet1!$C$125,T125=Sheet1!$C$125,U125=Sheet1!$C$125),"Yes","No"),"No"))</f>
        <v>Yes</v>
      </c>
      <c r="T125" s="50" t="str">
        <f t="shared" si="6"/>
        <v>North America</v>
      </c>
      <c r="U125" s="50" t="str">
        <f t="shared" si="8"/>
        <v>North America</v>
      </c>
    </row>
    <row r="126" spans="1:21" ht="12.75">
      <c r="A126" s="47" t="s">
        <v>182</v>
      </c>
      <c r="B126" s="48" t="s">
        <v>101</v>
      </c>
      <c r="C126" s="48" t="s">
        <v>110</v>
      </c>
      <c r="D126" s="73">
        <v>2009</v>
      </c>
      <c r="E126" s="48" t="s">
        <v>204</v>
      </c>
      <c r="F126" s="21">
        <v>140.2</v>
      </c>
      <c r="G126" s="21">
        <v>127.5</v>
      </c>
      <c r="H126" s="21">
        <v>121.2</v>
      </c>
      <c r="I126" s="21">
        <v>103</v>
      </c>
      <c r="J126" s="21">
        <v>120.8</v>
      </c>
      <c r="K126" s="21">
        <v>126.2</v>
      </c>
      <c r="L126" s="21">
        <v>122.4</v>
      </c>
      <c r="M126" s="21">
        <v>124.1475245703149</v>
      </c>
      <c r="N126" s="21">
        <v>0</v>
      </c>
      <c r="O126" s="21"/>
      <c r="P126" s="21">
        <v>122.90604932461176</v>
      </c>
      <c r="Q126" s="181">
        <v>229.7</v>
      </c>
      <c r="R126" s="22">
        <v>3.2</v>
      </c>
      <c r="S126" s="50" t="str">
        <f>IF('Region summary'!$B$5="World","Yes",IF(AND(D126=Sheet1!$F$114,'Traffic data for database'!E172=Forecast_timeframe),IF(OR(B126=Sheet1!$C$125,C126=Sheet1!$C$125,T126=Sheet1!$C$125,U126=Sheet1!$C$125),"Yes","No"),"No"))</f>
        <v>Yes</v>
      </c>
      <c r="T126" s="50" t="str">
        <f t="shared" si="6"/>
        <v>North America</v>
      </c>
      <c r="U126" s="50" t="str">
        <f t="shared" si="8"/>
        <v>Asia Pacific</v>
      </c>
    </row>
    <row r="127" spans="1:21" ht="12.75">
      <c r="A127" s="47" t="s">
        <v>215</v>
      </c>
      <c r="B127" s="48" t="s">
        <v>101</v>
      </c>
      <c r="C127" s="48" t="s">
        <v>109</v>
      </c>
      <c r="D127" s="73">
        <v>2009</v>
      </c>
      <c r="E127" s="48" t="s">
        <v>204</v>
      </c>
      <c r="F127" s="21">
        <v>30</v>
      </c>
      <c r="G127" s="21">
        <v>27.6</v>
      </c>
      <c r="H127" s="21">
        <v>26.5</v>
      </c>
      <c r="I127" s="21">
        <v>25.9</v>
      </c>
      <c r="J127" s="21">
        <v>30.1</v>
      </c>
      <c r="K127" s="21">
        <v>31.5</v>
      </c>
      <c r="L127" s="21">
        <v>32.2</v>
      </c>
      <c r="M127" s="21">
        <v>29.542114366234173</v>
      </c>
      <c r="N127" s="21">
        <v>0</v>
      </c>
      <c r="O127" s="21"/>
      <c r="P127" s="21">
        <v>29.53029752048768</v>
      </c>
      <c r="Q127" s="181">
        <v>89.3</v>
      </c>
      <c r="R127" s="22">
        <v>5.7</v>
      </c>
      <c r="S127" s="50" t="str">
        <f>IF('Region summary'!$B$5="World","Yes",IF(AND(D127=Sheet1!$F$114,'Traffic data for database'!E173=Forecast_timeframe),IF(OR(B127=Sheet1!$C$125,C127=Sheet1!$C$125,T127=Sheet1!$C$125,U127=Sheet1!$C$125),"Yes","No"),"No"))</f>
        <v>Yes</v>
      </c>
      <c r="T127" s="50" t="str">
        <f t="shared" si="6"/>
        <v>North America</v>
      </c>
      <c r="U127" s="50" t="str">
        <f t="shared" si="8"/>
        <v>Asia Pacific</v>
      </c>
    </row>
    <row r="128" spans="1:21" ht="12.75">
      <c r="A128" s="47" t="s">
        <v>183</v>
      </c>
      <c r="B128" s="48" t="s">
        <v>101</v>
      </c>
      <c r="C128" s="48" t="s">
        <v>163</v>
      </c>
      <c r="D128" s="73">
        <v>2009</v>
      </c>
      <c r="E128" s="48" t="s">
        <v>204</v>
      </c>
      <c r="F128" s="21">
        <v>47.2</v>
      </c>
      <c r="G128" s="21">
        <v>44.8</v>
      </c>
      <c r="H128" s="21">
        <v>42.7</v>
      </c>
      <c r="I128" s="21">
        <v>37.6</v>
      </c>
      <c r="J128" s="21">
        <v>39.9</v>
      </c>
      <c r="K128" s="21">
        <v>49.9</v>
      </c>
      <c r="L128" s="21">
        <v>59</v>
      </c>
      <c r="M128" s="21">
        <v>66.64026824401954</v>
      </c>
      <c r="N128" s="21">
        <v>0</v>
      </c>
      <c r="O128" s="21"/>
      <c r="P128" s="21">
        <v>59.17655820068935</v>
      </c>
      <c r="Q128" s="181">
        <v>214.7</v>
      </c>
      <c r="R128" s="22">
        <v>6.7</v>
      </c>
      <c r="S128" s="50" t="str">
        <f>IF('Region summary'!$B$5="World","Yes",IF(AND(D128=Sheet1!$F$114,'Traffic data for database'!E174=Forecast_timeframe),IF(OR(B128=Sheet1!$C$125,C128=Sheet1!$C$125,T128=Sheet1!$C$125,U128=Sheet1!$C$125),"Yes","No"),"No"))</f>
        <v>Yes</v>
      </c>
      <c r="T128" s="50" t="str">
        <f t="shared" si="6"/>
        <v>North America</v>
      </c>
      <c r="U128" s="50" t="str">
        <f t="shared" si="8"/>
        <v>Latin America</v>
      </c>
    </row>
    <row r="129" spans="1:21" ht="12.75">
      <c r="A129" s="47" t="s">
        <v>184</v>
      </c>
      <c r="B129" s="48" t="s">
        <v>101</v>
      </c>
      <c r="C129" s="48" t="s">
        <v>111</v>
      </c>
      <c r="D129" s="73">
        <v>2009</v>
      </c>
      <c r="E129" s="48" t="s">
        <v>204</v>
      </c>
      <c r="F129" s="21">
        <v>32.1</v>
      </c>
      <c r="G129" s="21">
        <v>29.3</v>
      </c>
      <c r="H129" s="21">
        <v>30.5</v>
      </c>
      <c r="I129" s="21">
        <v>26.8</v>
      </c>
      <c r="J129" s="21">
        <v>33.6</v>
      </c>
      <c r="K129" s="21">
        <v>36.5</v>
      </c>
      <c r="L129" s="21">
        <v>36.5</v>
      </c>
      <c r="M129" s="21">
        <v>42.74817748966579</v>
      </c>
      <c r="N129" s="21">
        <v>0</v>
      </c>
      <c r="O129" s="21"/>
      <c r="P129" s="21">
        <v>37.43321250046471</v>
      </c>
      <c r="Q129" s="181">
        <v>136.2</v>
      </c>
      <c r="R129" s="22">
        <v>6.7</v>
      </c>
      <c r="S129" s="50" t="str">
        <f>IF('Region summary'!$B$5="World","Yes",IF(AND(D129=Sheet1!$F$114,'Traffic data for database'!E175=Forecast_timeframe),IF(OR(B129=Sheet1!$C$125,C129=Sheet1!$C$125,T129=Sheet1!$C$125,U129=Sheet1!$C$125),"Yes","No"),"No"))</f>
        <v>Yes</v>
      </c>
      <c r="T129" s="50" t="str">
        <f t="shared" si="6"/>
        <v>North America</v>
      </c>
      <c r="U129" s="50" t="str">
        <f t="shared" si="8"/>
        <v>Asia Pacific</v>
      </c>
    </row>
    <row r="130" spans="1:21" ht="12.75">
      <c r="A130" s="47" t="s">
        <v>185</v>
      </c>
      <c r="B130" s="48" t="s">
        <v>110</v>
      </c>
      <c r="C130" s="48" t="s">
        <v>110</v>
      </c>
      <c r="D130" s="73">
        <v>2009</v>
      </c>
      <c r="E130" s="48" t="s">
        <v>204</v>
      </c>
      <c r="F130" s="21">
        <v>79</v>
      </c>
      <c r="G130" s="21">
        <v>80.2</v>
      </c>
      <c r="H130" s="21">
        <v>85</v>
      </c>
      <c r="I130" s="21">
        <v>86.1</v>
      </c>
      <c r="J130" s="21">
        <v>83.6</v>
      </c>
      <c r="K130" s="21">
        <v>83.9</v>
      </c>
      <c r="L130" s="21">
        <v>84.1</v>
      </c>
      <c r="M130" s="21">
        <v>82.03626675971162</v>
      </c>
      <c r="N130" s="21">
        <v>0</v>
      </c>
      <c r="O130" s="21"/>
      <c r="P130" s="21">
        <v>81.62608542591306</v>
      </c>
      <c r="Q130" s="181">
        <v>167.1</v>
      </c>
      <c r="R130" s="22">
        <v>3.6</v>
      </c>
      <c r="S130" s="50" t="str">
        <f>IF('Region summary'!$B$5="World","Yes",IF(AND(D130=Sheet1!$F$114,'Traffic data for database'!E176=Forecast_timeframe),IF(OR(B130=Sheet1!$C$125,C130=Sheet1!$C$125,T130=Sheet1!$C$125,U130=Sheet1!$C$125),"Yes","No"),"No"))</f>
        <v>Yes</v>
      </c>
      <c r="T130" s="50" t="str">
        <f t="shared" si="6"/>
        <v>Asia Pacific</v>
      </c>
      <c r="U130" s="50" t="str">
        <f t="shared" si="8"/>
        <v>Asia Pacific</v>
      </c>
    </row>
    <row r="131" spans="1:21" ht="12.75">
      <c r="A131" s="47" t="s">
        <v>216</v>
      </c>
      <c r="B131" s="48" t="s">
        <v>110</v>
      </c>
      <c r="C131" s="48" t="s">
        <v>109</v>
      </c>
      <c r="D131" s="73">
        <v>2009</v>
      </c>
      <c r="E131" s="48" t="s">
        <v>204</v>
      </c>
      <c r="F131" s="21">
        <v>24.1</v>
      </c>
      <c r="G131" s="21">
        <v>22.5</v>
      </c>
      <c r="H131" s="21">
        <v>24.5</v>
      </c>
      <c r="I131" s="21">
        <v>22.8</v>
      </c>
      <c r="J131" s="21">
        <v>27.1</v>
      </c>
      <c r="K131" s="21">
        <v>25.7</v>
      </c>
      <c r="L131" s="21">
        <v>24.6</v>
      </c>
      <c r="M131" s="21">
        <v>23.269433294858118</v>
      </c>
      <c r="N131" s="21">
        <v>0</v>
      </c>
      <c r="O131" s="21"/>
      <c r="P131" s="21">
        <v>20.907585815430014</v>
      </c>
      <c r="Q131" s="181">
        <v>57.3</v>
      </c>
      <c r="R131" s="22">
        <v>5.2</v>
      </c>
      <c r="S131" s="50" t="str">
        <f>IF('Region summary'!$B$5="World","Yes",IF(AND(D131=Sheet1!$F$114,'Traffic data for database'!E177=Forecast_timeframe),IF(OR(B131=Sheet1!$C$125,C131=Sheet1!$C$125,T131=Sheet1!$C$125,U131=Sheet1!$C$125),"Yes","No"),"No"))</f>
        <v>Yes</v>
      </c>
      <c r="T131" s="50" t="str">
        <f t="shared" si="6"/>
        <v>Asia Pacific</v>
      </c>
      <c r="U131" s="50" t="str">
        <f t="shared" si="8"/>
        <v>Asia Pacific</v>
      </c>
    </row>
    <row r="132" spans="1:21" ht="12.75">
      <c r="A132" s="47" t="s">
        <v>186</v>
      </c>
      <c r="B132" s="48" t="s">
        <v>110</v>
      </c>
      <c r="C132" s="48" t="s">
        <v>111</v>
      </c>
      <c r="D132" s="73">
        <v>2009</v>
      </c>
      <c r="E132" s="48" t="s">
        <v>204</v>
      </c>
      <c r="F132" s="21">
        <v>48.5</v>
      </c>
      <c r="G132" s="21">
        <v>47.8</v>
      </c>
      <c r="H132" s="21">
        <v>54.4</v>
      </c>
      <c r="I132" s="21">
        <v>45.7</v>
      </c>
      <c r="J132" s="21">
        <v>61.5</v>
      </c>
      <c r="K132" s="21">
        <v>67.1</v>
      </c>
      <c r="L132" s="21">
        <v>74.3</v>
      </c>
      <c r="M132" s="21">
        <v>79.00130100942962</v>
      </c>
      <c r="N132" s="21">
        <v>0</v>
      </c>
      <c r="O132" s="21"/>
      <c r="P132" s="21">
        <v>74.07577500258344</v>
      </c>
      <c r="Q132" s="181">
        <v>234.4</v>
      </c>
      <c r="R132" s="22">
        <v>5.9</v>
      </c>
      <c r="S132" s="50" t="str">
        <f>IF('Region summary'!$B$5="World","Yes",IF(AND(D132=Sheet1!$F$114,'Traffic data for database'!E178=Forecast_timeframe),IF(OR(B132=Sheet1!$C$125,C132=Sheet1!$C$125,T132=Sheet1!$C$125,U132=Sheet1!$C$125),"Yes","No"),"No"))</f>
        <v>Yes</v>
      </c>
      <c r="T132" s="50" t="str">
        <f t="shared" si="6"/>
        <v>Asia Pacific</v>
      </c>
      <c r="U132" s="50" t="str">
        <f t="shared" si="8"/>
        <v>Asia Pacific</v>
      </c>
    </row>
    <row r="133" spans="1:21" ht="12.75">
      <c r="A133" s="47" t="s">
        <v>217</v>
      </c>
      <c r="B133" s="48" t="s">
        <v>109</v>
      </c>
      <c r="C133" s="48" t="s">
        <v>109</v>
      </c>
      <c r="D133" s="73">
        <v>2009</v>
      </c>
      <c r="E133" s="48" t="s">
        <v>204</v>
      </c>
      <c r="F133" s="21">
        <v>49.2</v>
      </c>
      <c r="G133" s="21">
        <v>50.7</v>
      </c>
      <c r="H133" s="21">
        <v>50.2</v>
      </c>
      <c r="I133" s="21">
        <v>55.5</v>
      </c>
      <c r="J133" s="21">
        <v>58.8</v>
      </c>
      <c r="K133" s="21">
        <v>63</v>
      </c>
      <c r="L133" s="21">
        <v>67.8</v>
      </c>
      <c r="M133" s="21">
        <v>72.63619208348246</v>
      </c>
      <c r="N133" s="21">
        <v>0</v>
      </c>
      <c r="O133" s="21"/>
      <c r="P133" s="21">
        <v>78.16380630103548</v>
      </c>
      <c r="Q133" s="181">
        <v>184.3</v>
      </c>
      <c r="R133" s="22">
        <v>4.4</v>
      </c>
      <c r="S133" s="50" t="str">
        <f>IF('Region summary'!$B$5="World","Yes",IF(AND(D133=Sheet1!$F$114,'Traffic data for database'!E179=Forecast_timeframe),IF(OR(B133=Sheet1!$C$125,C133=Sheet1!$C$125,T133=Sheet1!$C$125,U133=Sheet1!$C$125),"Yes","No"),"No"))</f>
        <v>Yes</v>
      </c>
      <c r="T133" s="50" t="str">
        <f aca="true" t="shared" si="9" ref="T133:T142">VLOOKUP(B133,$X$5:$Y$23,2,FALSE)</f>
        <v>Asia Pacific</v>
      </c>
      <c r="U133" s="50" t="str">
        <f t="shared" si="8"/>
        <v>Asia Pacific</v>
      </c>
    </row>
    <row r="134" spans="1:21" ht="12.75">
      <c r="A134" s="47" t="s">
        <v>218</v>
      </c>
      <c r="B134" s="48" t="s">
        <v>109</v>
      </c>
      <c r="C134" s="48" t="s">
        <v>111</v>
      </c>
      <c r="D134" s="73">
        <v>2009</v>
      </c>
      <c r="E134" s="48" t="s">
        <v>204</v>
      </c>
      <c r="F134" s="21">
        <v>46.2</v>
      </c>
      <c r="G134" s="21">
        <v>47.6</v>
      </c>
      <c r="H134" s="21">
        <v>46.6</v>
      </c>
      <c r="I134" s="21">
        <v>42</v>
      </c>
      <c r="J134" s="21">
        <v>54.6</v>
      </c>
      <c r="K134" s="21">
        <v>60.1</v>
      </c>
      <c r="L134" s="21">
        <v>57.3</v>
      </c>
      <c r="M134" s="21">
        <v>55.70905437767055</v>
      </c>
      <c r="N134" s="21">
        <v>0</v>
      </c>
      <c r="O134" s="21"/>
      <c r="P134" s="21">
        <v>65.73668416565125</v>
      </c>
      <c r="Q134" s="181">
        <v>183.3</v>
      </c>
      <c r="R134" s="22">
        <v>5.3</v>
      </c>
      <c r="S134" s="50" t="str">
        <f>IF('Region summary'!$B$5="World","Yes",IF(AND(D134=Sheet1!$F$114,'Traffic data for database'!E180=Forecast_timeframe),IF(OR(B134=Sheet1!$C$125,C134=Sheet1!$C$125,T134=Sheet1!$C$125,U134=Sheet1!$C$125),"Yes","No"),"No"))</f>
        <v>Yes</v>
      </c>
      <c r="T134" s="50" t="str">
        <f t="shared" si="9"/>
        <v>Asia Pacific</v>
      </c>
      <c r="U134" s="50" t="str">
        <f t="shared" si="8"/>
        <v>Asia Pacific</v>
      </c>
    </row>
    <row r="135" spans="1:21" ht="12.75">
      <c r="A135" s="47" t="s">
        <v>187</v>
      </c>
      <c r="B135" s="48" t="s">
        <v>163</v>
      </c>
      <c r="C135" s="48" t="s">
        <v>163</v>
      </c>
      <c r="D135" s="73">
        <v>2009</v>
      </c>
      <c r="E135" s="48" t="s">
        <v>204</v>
      </c>
      <c r="F135" s="21">
        <v>53.5</v>
      </c>
      <c r="G135" s="21">
        <v>50.8</v>
      </c>
      <c r="H135" s="21">
        <v>52.7</v>
      </c>
      <c r="I135" s="21">
        <v>47.9</v>
      </c>
      <c r="J135" s="21">
        <v>52.9</v>
      </c>
      <c r="K135" s="21">
        <v>60.8</v>
      </c>
      <c r="L135" s="21">
        <v>72.8</v>
      </c>
      <c r="M135" s="21">
        <v>78.8310614570912</v>
      </c>
      <c r="N135" s="21">
        <v>0</v>
      </c>
      <c r="O135" s="21"/>
      <c r="P135" s="21">
        <v>80.01352737894757</v>
      </c>
      <c r="Q135" s="181">
        <v>287.9</v>
      </c>
      <c r="R135" s="22">
        <v>6.6</v>
      </c>
      <c r="S135" s="50" t="str">
        <f>IF('Region summary'!$B$5="World","Yes",IF(AND(D135=Sheet1!$F$114,'Traffic data for database'!E181=Forecast_timeframe),IF(OR(B135=Sheet1!$C$125,C135=Sheet1!$C$125,T135=Sheet1!$C$125,U135=Sheet1!$C$125),"Yes","No"),"No"))</f>
        <v>Yes</v>
      </c>
      <c r="T135" s="50" t="str">
        <f t="shared" si="9"/>
        <v>Latin America</v>
      </c>
      <c r="U135" s="50" t="str">
        <f t="shared" si="8"/>
        <v>Latin America</v>
      </c>
    </row>
    <row r="136" spans="1:21" ht="12.75">
      <c r="A136" s="47" t="s">
        <v>188</v>
      </c>
      <c r="B136" s="48" t="s">
        <v>111</v>
      </c>
      <c r="C136" s="48" t="s">
        <v>111</v>
      </c>
      <c r="D136" s="73">
        <v>2009</v>
      </c>
      <c r="E136" s="48" t="s">
        <v>204</v>
      </c>
      <c r="F136" s="21">
        <v>53.7</v>
      </c>
      <c r="G136" s="21">
        <v>57</v>
      </c>
      <c r="H136" s="21">
        <v>60.6</v>
      </c>
      <c r="I136" s="21">
        <v>59.4</v>
      </c>
      <c r="J136" s="21">
        <v>73.9</v>
      </c>
      <c r="K136" s="21">
        <v>82.4</v>
      </c>
      <c r="L136" s="21">
        <v>89.2</v>
      </c>
      <c r="M136" s="21">
        <v>96.71024861158497</v>
      </c>
      <c r="N136" s="21">
        <v>0</v>
      </c>
      <c r="O136" s="21"/>
      <c r="P136" s="21">
        <v>90.0372414573856</v>
      </c>
      <c r="Q136" s="181">
        <v>424</v>
      </c>
      <c r="R136" s="22">
        <v>8.1</v>
      </c>
      <c r="S136" s="50" t="str">
        <f>IF('Region summary'!$B$5="World","Yes",IF(AND(D136=Sheet1!$F$114,'Traffic data for database'!E182=Forecast_timeframe),IF(OR(B136=Sheet1!$C$125,C136=Sheet1!$C$125,T136=Sheet1!$C$125,U136=Sheet1!$C$125),"Yes","No"),"No"))</f>
        <v>Yes</v>
      </c>
      <c r="T136" s="50" t="str">
        <f t="shared" si="9"/>
        <v>Asia Pacific</v>
      </c>
      <c r="U136" s="50" t="str">
        <f t="shared" si="8"/>
        <v>Asia Pacific</v>
      </c>
    </row>
    <row r="137" spans="1:21" ht="12.75">
      <c r="A137" s="47" t="s">
        <v>655</v>
      </c>
      <c r="B137" s="48" t="s">
        <v>111</v>
      </c>
      <c r="C137" s="48" t="s">
        <v>649</v>
      </c>
      <c r="D137" s="73">
        <v>2009</v>
      </c>
      <c r="E137" s="48" t="s">
        <v>204</v>
      </c>
      <c r="F137" s="21">
        <v>10.9</v>
      </c>
      <c r="G137" s="21">
        <v>11.6</v>
      </c>
      <c r="H137" s="21">
        <v>12.6</v>
      </c>
      <c r="I137" s="21">
        <v>12.5</v>
      </c>
      <c r="J137" s="21">
        <v>14.9</v>
      </c>
      <c r="K137" s="21">
        <v>17.1</v>
      </c>
      <c r="L137" s="21">
        <v>19.1</v>
      </c>
      <c r="M137" s="21">
        <v>19.993807257907026</v>
      </c>
      <c r="N137" s="21">
        <v>0</v>
      </c>
      <c r="O137" s="21"/>
      <c r="P137" s="21">
        <v>22.234594481856185</v>
      </c>
      <c r="Q137" s="181">
        <v>100.9</v>
      </c>
      <c r="R137" s="22">
        <v>7.9</v>
      </c>
      <c r="S137" s="50" t="str">
        <f>IF('Region summary'!$B$5="World","Yes",IF(AND(D137=Sheet1!$F$114,'Traffic data for database'!E183=Forecast_timeframe),IF(OR(B137=Sheet1!$C$125,C137=Sheet1!$C$125,T137=Sheet1!$C$125,U137=Sheet1!$C$125),"Yes","No"),"No"))</f>
        <v>Yes</v>
      </c>
      <c r="T137" s="50" t="str">
        <f t="shared" si="9"/>
        <v>Asia Pacific</v>
      </c>
      <c r="U137" s="50" t="str">
        <f t="shared" si="8"/>
        <v>Asia Pacific</v>
      </c>
    </row>
    <row r="138" spans="1:21" ht="12.75">
      <c r="A138" s="47" t="s">
        <v>656</v>
      </c>
      <c r="B138" s="48" t="s">
        <v>649</v>
      </c>
      <c r="C138" s="48" t="s">
        <v>649</v>
      </c>
      <c r="D138" s="73">
        <v>2009</v>
      </c>
      <c r="E138" s="48" t="s">
        <v>204</v>
      </c>
      <c r="F138" s="21">
        <v>16</v>
      </c>
      <c r="G138" s="21">
        <v>16.6</v>
      </c>
      <c r="H138" s="21">
        <v>17.4</v>
      </c>
      <c r="I138" s="21">
        <v>17.7</v>
      </c>
      <c r="J138" s="21">
        <v>21.3</v>
      </c>
      <c r="K138" s="21">
        <v>25</v>
      </c>
      <c r="L138" s="21">
        <v>29.5</v>
      </c>
      <c r="M138" s="21">
        <v>39.124321532637815</v>
      </c>
      <c r="N138" s="21">
        <v>0</v>
      </c>
      <c r="O138" s="21"/>
      <c r="P138" s="21">
        <v>44.17918387465461</v>
      </c>
      <c r="Q138" s="181">
        <v>236.4</v>
      </c>
      <c r="R138" s="22">
        <v>8.7</v>
      </c>
      <c r="S138" s="50" t="str">
        <f>IF('Region summary'!$B$5="World","Yes",IF(AND(D138=Sheet1!$F$114,'Traffic data for database'!E184=Forecast_timeframe),IF(OR(B138=Sheet1!$C$125,C138=Sheet1!$C$125,T138=Sheet1!$C$125,U138=Sheet1!$C$125),"Yes","No"),"No"))</f>
        <v>Yes</v>
      </c>
      <c r="T138" s="50" t="str">
        <f t="shared" si="9"/>
        <v>Asia Pacific</v>
      </c>
      <c r="U138" s="50" t="str">
        <f t="shared" si="8"/>
        <v>Asia Pacific</v>
      </c>
    </row>
    <row r="139" spans="1:21" ht="12.75">
      <c r="A139" s="47" t="s">
        <v>189</v>
      </c>
      <c r="B139" s="48" t="s">
        <v>161</v>
      </c>
      <c r="C139" s="48" t="s">
        <v>161</v>
      </c>
      <c r="D139" s="73">
        <v>2009</v>
      </c>
      <c r="E139" s="48" t="s">
        <v>204</v>
      </c>
      <c r="F139" s="21">
        <v>15.2</v>
      </c>
      <c r="G139" s="21">
        <v>16</v>
      </c>
      <c r="H139" s="21">
        <v>16.9</v>
      </c>
      <c r="I139" s="21">
        <v>18.2</v>
      </c>
      <c r="J139" s="21">
        <v>26.7</v>
      </c>
      <c r="K139" s="21">
        <v>31.9</v>
      </c>
      <c r="L139" s="21">
        <v>38.7</v>
      </c>
      <c r="M139" s="21">
        <v>53.89125615134799</v>
      </c>
      <c r="N139" s="21">
        <v>0</v>
      </c>
      <c r="O139" s="21"/>
      <c r="P139" s="21">
        <v>64.22131065696158</v>
      </c>
      <c r="Q139" s="181">
        <v>273.5</v>
      </c>
      <c r="R139" s="22">
        <v>7.5</v>
      </c>
      <c r="S139" s="50" t="str">
        <f>IF('Region summary'!$B$5="World","Yes",IF(AND(D139=Sheet1!$F$114,'Traffic data for database'!E185=Forecast_timeframe),IF(OR(B139=Sheet1!$C$125,C139=Sheet1!$C$125,T139=Sheet1!$C$125,U139=Sheet1!$C$125),"Yes","No"),"No"))</f>
        <v>Yes</v>
      </c>
      <c r="T139" s="50" t="str">
        <f t="shared" si="9"/>
        <v>Rest of the world</v>
      </c>
      <c r="U139" s="50" t="str">
        <f t="shared" si="8"/>
        <v>Rest of the world</v>
      </c>
    </row>
    <row r="140" spans="1:21" ht="12.75">
      <c r="A140" s="51" t="s">
        <v>190</v>
      </c>
      <c r="B140" s="48" t="str">
        <f>A140</f>
        <v>World Total</v>
      </c>
      <c r="C140" s="48" t="str">
        <f>A140</f>
        <v>World Total</v>
      </c>
      <c r="D140" s="73">
        <v>2009</v>
      </c>
      <c r="E140" s="48" t="s">
        <v>204</v>
      </c>
      <c r="F140" s="52">
        <v>3381.4</v>
      </c>
      <c r="G140" s="52">
        <v>3289.6</v>
      </c>
      <c r="H140" s="52">
        <v>3279.1</v>
      </c>
      <c r="I140" s="52">
        <v>3304.2</v>
      </c>
      <c r="J140" s="52">
        <v>3754.3</v>
      </c>
      <c r="K140" s="52">
        <v>4026.3</v>
      </c>
      <c r="L140" s="52">
        <v>4233.6</v>
      </c>
      <c r="M140" s="52">
        <v>4538.853693633997</v>
      </c>
      <c r="N140" s="21">
        <v>0</v>
      </c>
      <c r="O140" s="21"/>
      <c r="P140" s="52">
        <v>4621</v>
      </c>
      <c r="Q140" s="181">
        <v>12090</v>
      </c>
      <c r="R140" s="49">
        <v>4.9</v>
      </c>
      <c r="S140" s="50" t="str">
        <f>IF('Region summary'!$B$5="World","Yes",IF(AND(D140=Sheet1!$F$114,'Traffic data for database'!E186=Forecast_timeframe),IF(OR(B140=Sheet1!$C$125,C140=Sheet1!$C$125,T140=Sheet1!$C$125,U140=Sheet1!$C$125),"Yes","No"),"No"))</f>
        <v>Yes</v>
      </c>
      <c r="T140" s="50" t="str">
        <f t="shared" si="9"/>
        <v>World</v>
      </c>
      <c r="U140" s="50" t="str">
        <f t="shared" si="8"/>
        <v>World</v>
      </c>
    </row>
    <row r="141" spans="1:21" ht="12.75">
      <c r="A141" s="47" t="s">
        <v>587</v>
      </c>
      <c r="B141" s="47" t="s">
        <v>483</v>
      </c>
      <c r="C141" s="47" t="s">
        <v>483</v>
      </c>
      <c r="D141" s="73">
        <v>2009</v>
      </c>
      <c r="E141" s="48" t="s">
        <v>204</v>
      </c>
      <c r="F141" s="21">
        <f aca="true" t="shared" si="10" ref="F141:L141">SUM(F106,F109,F110,F111,F130,F131,F132,F133,F134,F136,F137,F138)</f>
        <v>465.09999999999997</v>
      </c>
      <c r="G141" s="21">
        <f t="shared" si="10"/>
        <v>483.4000000000001</v>
      </c>
      <c r="H141" s="21">
        <f t="shared" si="10"/>
        <v>527.4000000000001</v>
      </c>
      <c r="I141" s="21">
        <f t="shared" si="10"/>
        <v>506.99999999999994</v>
      </c>
      <c r="J141" s="21">
        <f t="shared" si="10"/>
        <v>622.9999999999999</v>
      </c>
      <c r="K141" s="21">
        <f t="shared" si="10"/>
        <v>683.1</v>
      </c>
      <c r="L141" s="21">
        <f t="shared" si="10"/>
        <v>726.2</v>
      </c>
      <c r="M141" s="21">
        <v>787.408191255264</v>
      </c>
      <c r="N141" s="21">
        <v>0</v>
      </c>
      <c r="O141" s="21"/>
      <c r="P141" s="21">
        <v>810.7002040928323</v>
      </c>
      <c r="Q141" s="21">
        <v>3080</v>
      </c>
      <c r="R141" s="49">
        <v>6.904067242577505</v>
      </c>
      <c r="S141" s="50" t="str">
        <f>IF('Region summary'!$B$5="World","Yes",IF(AND(D141=Sheet1!$F$114,'Traffic data for database'!E187=Forecast_timeframe),IF(OR(B141=Sheet1!$C$125,C141=Sheet1!$C$125,T141=Sheet1!$C$125,U141=Sheet1!$C$125),"Yes","No"),"No"))</f>
        <v>Yes</v>
      </c>
      <c r="T141" s="50" t="str">
        <f t="shared" si="9"/>
        <v>Asia Pacific</v>
      </c>
      <c r="U141" s="50" t="str">
        <f t="shared" si="8"/>
        <v>Asia Pacific</v>
      </c>
    </row>
    <row r="142" spans="1:21" ht="12.75">
      <c r="A142" s="47" t="s">
        <v>588</v>
      </c>
      <c r="B142" s="47" t="s">
        <v>104</v>
      </c>
      <c r="C142" s="47" t="s">
        <v>104</v>
      </c>
      <c r="D142" s="73">
        <v>2009</v>
      </c>
      <c r="E142" s="48" t="s">
        <v>204</v>
      </c>
      <c r="F142" s="21">
        <f aca="true" t="shared" si="11" ref="F142:L142">SUM(F102,F135)</f>
        <v>77.5</v>
      </c>
      <c r="G142" s="21">
        <f t="shared" si="11"/>
        <v>73.8</v>
      </c>
      <c r="H142" s="21">
        <f t="shared" si="11"/>
        <v>76.1</v>
      </c>
      <c r="I142" s="21">
        <f t="shared" si="11"/>
        <v>72.7</v>
      </c>
      <c r="J142" s="21">
        <f t="shared" si="11"/>
        <v>78.9</v>
      </c>
      <c r="K142" s="21">
        <f t="shared" si="11"/>
        <v>86</v>
      </c>
      <c r="L142" s="21">
        <f t="shared" si="11"/>
        <v>98.8</v>
      </c>
      <c r="M142" s="21">
        <v>120.67343571976768</v>
      </c>
      <c r="N142" s="21">
        <v>0</v>
      </c>
      <c r="O142" s="21"/>
      <c r="P142" s="21">
        <v>123.51965187015337</v>
      </c>
      <c r="Q142" s="21">
        <v>428.41135562848154</v>
      </c>
      <c r="R142" s="49">
        <v>6.41583221587847</v>
      </c>
      <c r="S142" s="50" t="str">
        <f>IF('Region summary'!$B$5="World","Yes",IF(AND(D142=Sheet1!$F$114,'Traffic data for database'!E188=Forecast_timeframe),IF(OR(B142=Sheet1!$C$125,C142=Sheet1!$C$125,T142=Sheet1!$C$125,U142=Sheet1!$C$125),"Yes","No"),"No"))</f>
        <v>Yes</v>
      </c>
      <c r="T142" s="50" t="str">
        <f t="shared" si="9"/>
        <v>Latin America</v>
      </c>
      <c r="U142" s="50" t="str">
        <f t="shared" si="8"/>
        <v>Latin America</v>
      </c>
    </row>
  </sheetData>
  <sheetProtection password="CC42" sheet="1" objects="1" scenarios="1" selectLockedCells="1" selectUnlockedCells="1"/>
  <printOptions/>
  <pageMargins left="0.75" right="0.75" top="1" bottom="1" header="0.5" footer="0.5"/>
  <pageSetup horizontalDpi="1200" verticalDpi="1200" orientation="portrait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18"/>
    <pageSetUpPr fitToPage="1"/>
  </sheetPr>
  <dimension ref="A1:D45"/>
  <sheetViews>
    <sheetView showGridLines="0" showZeros="0" workbookViewId="0" topLeftCell="A1">
      <selection activeCell="G21" sqref="G21"/>
    </sheetView>
  </sheetViews>
  <sheetFormatPr defaultColWidth="11.421875" defaultRowHeight="12.75"/>
  <cols>
    <col min="1" max="1" width="25.57421875" style="0" customWidth="1"/>
    <col min="2" max="2" width="9.140625" style="0" customWidth="1"/>
    <col min="3" max="3" width="31.57421875" style="0" customWidth="1"/>
    <col min="4" max="4" width="28.00390625" style="0" bestFit="1" customWidth="1"/>
    <col min="5" max="16384" width="9.140625" style="0" customWidth="1"/>
  </cols>
  <sheetData>
    <row r="1" spans="1:4" ht="15.75">
      <c r="A1" s="78" t="str">
        <f>'Region summary'!B1</f>
        <v>© Boeing 2011</v>
      </c>
      <c r="B1" s="176"/>
      <c r="C1" s="176"/>
      <c r="D1" s="176"/>
    </row>
    <row r="2" spans="1:4" ht="15.75">
      <c r="A2" s="80" t="str">
        <f>'Region summary'!B2</f>
        <v>Boeing Current Market Outlook 2011 to 2030</v>
      </c>
      <c r="B2" s="176"/>
      <c r="C2" s="176"/>
      <c r="D2" s="176"/>
    </row>
    <row r="3" spans="1:4" ht="15.75">
      <c r="A3" s="178" t="s">
        <v>562</v>
      </c>
      <c r="B3" s="165"/>
      <c r="C3" s="165"/>
      <c r="D3" s="180" t="s">
        <v>565</v>
      </c>
    </row>
    <row r="4" spans="1:4" ht="12.75">
      <c r="A4" s="175" t="s">
        <v>535</v>
      </c>
      <c r="B4" s="176"/>
      <c r="C4" s="176"/>
      <c r="D4" s="180" t="s">
        <v>564</v>
      </c>
    </row>
    <row r="5" spans="1:4" ht="12.75">
      <c r="A5" s="176"/>
      <c r="B5" s="176"/>
      <c r="C5" s="176"/>
      <c r="D5" s="176"/>
    </row>
    <row r="6" spans="1:4" ht="16.5" thickBot="1">
      <c r="A6" s="164" t="s">
        <v>505</v>
      </c>
      <c r="B6" s="164"/>
      <c r="C6" s="164"/>
      <c r="D6" s="164"/>
    </row>
    <row r="7" spans="1:4" ht="15" customHeight="1">
      <c r="A7" s="166" t="s">
        <v>431</v>
      </c>
      <c r="B7" s="166"/>
      <c r="C7" s="166" t="s">
        <v>422</v>
      </c>
      <c r="D7" s="166" t="s">
        <v>219</v>
      </c>
    </row>
    <row r="8" spans="1:4" ht="15" customHeight="1">
      <c r="A8" s="167" t="s">
        <v>506</v>
      </c>
      <c r="B8" s="167"/>
      <c r="C8" s="167" t="s">
        <v>507</v>
      </c>
      <c r="D8" s="168" t="s">
        <v>271</v>
      </c>
    </row>
    <row r="9" spans="1:4" ht="15" customHeight="1">
      <c r="A9" s="168" t="s">
        <v>226</v>
      </c>
      <c r="B9" s="167"/>
      <c r="C9" s="167" t="s">
        <v>508</v>
      </c>
      <c r="D9" s="168" t="s">
        <v>275</v>
      </c>
    </row>
    <row r="10" spans="1:4" ht="15" customHeight="1">
      <c r="A10" s="168" t="s">
        <v>227</v>
      </c>
      <c r="B10" s="167"/>
      <c r="C10" s="168" t="s">
        <v>509</v>
      </c>
      <c r="D10" s="167" t="s">
        <v>510</v>
      </c>
    </row>
    <row r="11" spans="1:4" ht="15" customHeight="1">
      <c r="A11" s="168" t="s">
        <v>511</v>
      </c>
      <c r="B11" s="167"/>
      <c r="C11" s="168" t="s">
        <v>512</v>
      </c>
      <c r="D11" s="167" t="s">
        <v>513</v>
      </c>
    </row>
    <row r="12" spans="1:4" ht="15" customHeight="1">
      <c r="A12" s="167"/>
      <c r="B12" s="167"/>
      <c r="C12" s="167" t="s">
        <v>514</v>
      </c>
      <c r="D12" s="168" t="s">
        <v>515</v>
      </c>
    </row>
    <row r="13" spans="1:4" ht="15" customHeight="1">
      <c r="A13" s="167"/>
      <c r="B13" s="167"/>
      <c r="C13" s="168" t="s">
        <v>276</v>
      </c>
      <c r="D13" s="167" t="s">
        <v>516</v>
      </c>
    </row>
    <row r="14" spans="1:4" ht="15" customHeight="1">
      <c r="A14" s="167"/>
      <c r="B14" s="167"/>
      <c r="C14" s="167" t="s">
        <v>517</v>
      </c>
      <c r="D14" s="168" t="s">
        <v>518</v>
      </c>
    </row>
    <row r="15" spans="1:4" ht="15" customHeight="1">
      <c r="A15" s="167"/>
      <c r="B15" s="167"/>
      <c r="C15" s="168" t="s">
        <v>250</v>
      </c>
      <c r="D15" s="168" t="s">
        <v>519</v>
      </c>
    </row>
    <row r="16" spans="1:4" ht="15" customHeight="1">
      <c r="A16" s="167"/>
      <c r="B16" s="167"/>
      <c r="C16" s="168" t="s">
        <v>520</v>
      </c>
      <c r="D16" s="167" t="s">
        <v>521</v>
      </c>
    </row>
    <row r="17" spans="1:4" ht="15" customHeight="1">
      <c r="A17" s="167"/>
      <c r="B17" s="167"/>
      <c r="C17" s="168" t="s">
        <v>522</v>
      </c>
      <c r="D17" s="168" t="s">
        <v>523</v>
      </c>
    </row>
    <row r="18" spans="1:4" ht="15" customHeight="1">
      <c r="A18" s="167"/>
      <c r="B18" s="167"/>
      <c r="C18" s="168" t="s">
        <v>681</v>
      </c>
      <c r="D18" s="168" t="s">
        <v>270</v>
      </c>
    </row>
    <row r="19" spans="1:4" ht="15" customHeight="1">
      <c r="A19" s="167"/>
      <c r="B19" s="167"/>
      <c r="C19" s="167" t="s">
        <v>245</v>
      </c>
      <c r="D19" s="167" t="s">
        <v>273</v>
      </c>
    </row>
    <row r="20" spans="1:3" ht="15" customHeight="1">
      <c r="A20" s="167"/>
      <c r="B20" s="167"/>
      <c r="C20" s="167" t="s">
        <v>524</v>
      </c>
    </row>
    <row r="21" spans="1:4" ht="15" customHeight="1">
      <c r="A21" s="167"/>
      <c r="B21" s="167"/>
      <c r="C21" s="167" t="s">
        <v>251</v>
      </c>
      <c r="D21" s="167"/>
    </row>
    <row r="22" spans="1:4" ht="15" customHeight="1">
      <c r="A22" s="167"/>
      <c r="B22" s="167"/>
      <c r="C22" s="167" t="s">
        <v>274</v>
      </c>
      <c r="D22" s="167"/>
    </row>
    <row r="23" spans="1:4" ht="12.75">
      <c r="A23" s="169"/>
      <c r="B23" s="169"/>
      <c r="C23" s="169"/>
      <c r="D23" s="169"/>
    </row>
    <row r="24" spans="1:4" ht="16.5" thickBot="1">
      <c r="A24" s="164" t="s">
        <v>525</v>
      </c>
      <c r="B24" s="164"/>
      <c r="C24" s="164"/>
      <c r="D24" s="164"/>
    </row>
    <row r="25" spans="1:4" ht="42" customHeight="1">
      <c r="A25" s="170" t="s">
        <v>556</v>
      </c>
      <c r="B25" s="171"/>
      <c r="C25" s="170" t="s">
        <v>557</v>
      </c>
      <c r="D25" s="170" t="s">
        <v>558</v>
      </c>
    </row>
    <row r="26" spans="1:4" ht="15" customHeight="1">
      <c r="A26" s="172" t="s">
        <v>277</v>
      </c>
      <c r="B26" s="173"/>
      <c r="C26" s="172" t="s">
        <v>526</v>
      </c>
      <c r="D26" s="172" t="s">
        <v>527</v>
      </c>
    </row>
    <row r="27" spans="1:4" ht="15" customHeight="1">
      <c r="A27" s="172" t="s">
        <v>282</v>
      </c>
      <c r="B27" s="173"/>
      <c r="C27" s="173" t="s">
        <v>528</v>
      </c>
      <c r="D27" s="173" t="s">
        <v>529</v>
      </c>
    </row>
    <row r="28" spans="1:4" ht="15" customHeight="1">
      <c r="A28" s="173"/>
      <c r="B28" s="173"/>
      <c r="C28" s="172" t="s">
        <v>530</v>
      </c>
      <c r="D28" s="173" t="s">
        <v>531</v>
      </c>
    </row>
    <row r="29" spans="1:4" ht="15" customHeight="1">
      <c r="A29" s="173"/>
      <c r="B29" s="173"/>
      <c r="C29" s="172" t="s">
        <v>532</v>
      </c>
      <c r="D29" s="172" t="s">
        <v>305</v>
      </c>
    </row>
    <row r="30" spans="1:4" ht="15" customHeight="1">
      <c r="A30" s="173"/>
      <c r="B30" s="173"/>
      <c r="C30" s="173" t="s">
        <v>533</v>
      </c>
      <c r="D30" s="173" t="s">
        <v>307</v>
      </c>
    </row>
    <row r="31" spans="1:4" ht="15" customHeight="1">
      <c r="A31" s="173"/>
      <c r="B31" s="173"/>
      <c r="C31" s="173"/>
      <c r="D31" s="174" t="s">
        <v>534</v>
      </c>
    </row>
    <row r="32" spans="1:4" ht="12.75">
      <c r="A32" s="176"/>
      <c r="B32" s="176"/>
      <c r="C32" s="176"/>
      <c r="D32" s="176"/>
    </row>
    <row r="33" spans="1:4" ht="16.5" thickBot="1">
      <c r="A33" s="164" t="s">
        <v>536</v>
      </c>
      <c r="B33" s="176"/>
      <c r="C33" s="176"/>
      <c r="D33" s="176"/>
    </row>
    <row r="34" spans="1:4" ht="29.25" customHeight="1">
      <c r="A34" s="170" t="s">
        <v>559</v>
      </c>
      <c r="B34" s="171"/>
      <c r="C34" s="170" t="s">
        <v>560</v>
      </c>
      <c r="D34" s="170" t="s">
        <v>561</v>
      </c>
    </row>
    <row r="35" spans="1:4" ht="15" customHeight="1">
      <c r="A35" s="177" t="s">
        <v>548</v>
      </c>
      <c r="B35" s="177"/>
      <c r="C35" s="177" t="s">
        <v>542</v>
      </c>
      <c r="D35" s="177" t="s">
        <v>537</v>
      </c>
    </row>
    <row r="36" spans="1:4" ht="15" customHeight="1">
      <c r="A36" s="177" t="s">
        <v>549</v>
      </c>
      <c r="B36" s="177"/>
      <c r="C36" s="177" t="s">
        <v>545</v>
      </c>
      <c r="D36" s="177" t="s">
        <v>672</v>
      </c>
    </row>
    <row r="37" spans="1:4" ht="15" customHeight="1">
      <c r="A37" s="177" t="s">
        <v>526</v>
      </c>
      <c r="B37" s="177"/>
      <c r="C37" s="177" t="s">
        <v>546</v>
      </c>
      <c r="D37" s="177" t="s">
        <v>541</v>
      </c>
    </row>
    <row r="38" spans="1:4" ht="15" customHeight="1">
      <c r="A38" s="177" t="s">
        <v>550</v>
      </c>
      <c r="B38" s="177"/>
      <c r="C38" s="177" t="s">
        <v>543</v>
      </c>
      <c r="D38" s="177" t="s">
        <v>230</v>
      </c>
    </row>
    <row r="39" spans="1:4" ht="15" customHeight="1">
      <c r="A39" s="177" t="s">
        <v>551</v>
      </c>
      <c r="B39" s="177"/>
      <c r="C39" s="177" t="s">
        <v>544</v>
      </c>
      <c r="D39" s="177" t="s">
        <v>540</v>
      </c>
    </row>
    <row r="40" spans="1:4" ht="15" customHeight="1">
      <c r="A40" s="177" t="s">
        <v>552</v>
      </c>
      <c r="B40" s="177"/>
      <c r="C40" s="177" t="s">
        <v>547</v>
      </c>
      <c r="D40" s="177" t="s">
        <v>224</v>
      </c>
    </row>
    <row r="41" spans="1:4" ht="15" customHeight="1">
      <c r="A41" s="177" t="s">
        <v>554</v>
      </c>
      <c r="B41" s="177"/>
      <c r="C41" s="177" t="s">
        <v>553</v>
      </c>
      <c r="D41" s="177" t="s">
        <v>673</v>
      </c>
    </row>
    <row r="42" spans="1:4" ht="15" customHeight="1">
      <c r="A42" s="177"/>
      <c r="B42" s="177"/>
      <c r="C42" s="177"/>
      <c r="D42" s="177" t="s">
        <v>539</v>
      </c>
    </row>
    <row r="43" spans="1:4" ht="15" customHeight="1">
      <c r="A43" s="177"/>
      <c r="B43" s="177"/>
      <c r="C43" s="382"/>
      <c r="D43" s="177" t="s">
        <v>538</v>
      </c>
    </row>
    <row r="44" spans="1:4" ht="12.75">
      <c r="A44" s="176"/>
      <c r="B44" s="176"/>
      <c r="C44" s="176"/>
      <c r="D44" s="176"/>
    </row>
    <row r="45" spans="1:4" ht="12.75">
      <c r="A45" s="176" t="s">
        <v>555</v>
      </c>
      <c r="B45" s="176"/>
      <c r="C45" s="176"/>
      <c r="D45" s="176"/>
    </row>
  </sheetData>
  <hyperlinks>
    <hyperlink ref="D4" location="'Airplane demand summary'!A1" display="Airplane demand summary"/>
    <hyperlink ref="D3" location="'Region summary'!A1" display="Region summary"/>
    <hyperlink ref="A2" r:id="rId1" display="http://www.boeing.com/cmo"/>
  </hyperlinks>
  <printOptions/>
  <pageMargins left="0.75" right="0.75" top="0.67" bottom="0.72" header="0.5" footer="0.5"/>
  <pageSetup fitToHeight="1" fitToWidth="1" horizontalDpi="1200" verticalDpi="12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IV234"/>
  <sheetViews>
    <sheetView showGridLines="0" showZeros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11.421875" defaultRowHeight="12.75"/>
  <cols>
    <col min="1" max="1" width="41.57421875" style="195" bestFit="1" customWidth="1"/>
    <col min="2" max="2" width="28.57421875" style="195" bestFit="1" customWidth="1"/>
    <col min="3" max="3" width="36.57421875" style="195" customWidth="1"/>
    <col min="4" max="9" width="10.8515625" style="195" bestFit="1" customWidth="1"/>
    <col min="10" max="11" width="11.7109375" style="195" bestFit="1" customWidth="1"/>
    <col min="12" max="12" width="10.421875" style="195" customWidth="1"/>
    <col min="13" max="13" width="14.7109375" style="195" bestFit="1" customWidth="1"/>
    <col min="14" max="14" width="13.421875" style="195" bestFit="1" customWidth="1"/>
    <col min="15" max="16384" width="9.140625" style="195" customWidth="1"/>
  </cols>
  <sheetData>
    <row r="1" spans="1:63" ht="11.25">
      <c r="A1" s="255" t="s">
        <v>193</v>
      </c>
      <c r="B1" s="202" t="s">
        <v>122</v>
      </c>
      <c r="C1" s="203">
        <v>2010</v>
      </c>
      <c r="D1" s="211"/>
      <c r="E1" s="202" t="s">
        <v>380</v>
      </c>
      <c r="F1" s="203">
        <f>IF(Forecast_timeframe="20 years",baseyear+20,baseyear+10)</f>
        <v>2030</v>
      </c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3"/>
    </row>
    <row r="2" spans="1:67" ht="67.5">
      <c r="A2" s="244">
        <v>1</v>
      </c>
      <c r="B2" s="245" t="s">
        <v>113</v>
      </c>
      <c r="C2" s="245" t="s">
        <v>107</v>
      </c>
      <c r="D2" s="245" t="s">
        <v>79</v>
      </c>
      <c r="E2" s="246" t="s">
        <v>112</v>
      </c>
      <c r="F2" s="245" t="s">
        <v>205</v>
      </c>
      <c r="G2" s="246" t="s">
        <v>80</v>
      </c>
      <c r="H2" s="246" t="s">
        <v>81</v>
      </c>
      <c r="I2" s="246" t="s">
        <v>82</v>
      </c>
      <c r="J2" s="246" t="s">
        <v>83</v>
      </c>
      <c r="K2" s="246" t="s">
        <v>375</v>
      </c>
      <c r="L2" s="246" t="s">
        <v>314</v>
      </c>
      <c r="M2" s="246" t="s">
        <v>206</v>
      </c>
      <c r="N2" s="246" t="s">
        <v>208</v>
      </c>
      <c r="O2" s="246" t="s">
        <v>207</v>
      </c>
      <c r="P2" s="246" t="s">
        <v>315</v>
      </c>
      <c r="Q2" s="246" t="s">
        <v>85</v>
      </c>
      <c r="R2" s="246" t="s">
        <v>353</v>
      </c>
      <c r="S2" s="246" t="s">
        <v>86</v>
      </c>
      <c r="T2" s="246" t="s">
        <v>87</v>
      </c>
      <c r="U2" s="246" t="s">
        <v>88</v>
      </c>
      <c r="V2" s="246" t="s">
        <v>354</v>
      </c>
      <c r="W2" s="246" t="s">
        <v>89</v>
      </c>
      <c r="X2" s="246" t="s">
        <v>90</v>
      </c>
      <c r="Y2" s="246" t="s">
        <v>91</v>
      </c>
      <c r="Z2" s="246" t="s">
        <v>312</v>
      </c>
      <c r="AA2" s="246" t="s">
        <v>313</v>
      </c>
      <c r="AB2" s="246" t="s">
        <v>352</v>
      </c>
      <c r="AC2" s="246" t="s">
        <v>94</v>
      </c>
      <c r="AD2" s="246" t="s">
        <v>95</v>
      </c>
      <c r="AE2" s="246" t="s">
        <v>96</v>
      </c>
      <c r="AF2" s="246" t="s">
        <v>355</v>
      </c>
      <c r="AG2" s="246" t="s">
        <v>97</v>
      </c>
      <c r="AH2" s="246" t="s">
        <v>98</v>
      </c>
      <c r="AI2" s="246" t="s">
        <v>99</v>
      </c>
      <c r="AJ2" s="246" t="s">
        <v>339</v>
      </c>
      <c r="AK2" s="246" t="s">
        <v>340</v>
      </c>
      <c r="AL2" s="246" t="s">
        <v>341</v>
      </c>
      <c r="AM2" s="246" t="s">
        <v>317</v>
      </c>
      <c r="AN2" s="246" t="s">
        <v>318</v>
      </c>
      <c r="AO2" s="246" t="s">
        <v>338</v>
      </c>
      <c r="AP2" s="246" t="s">
        <v>337</v>
      </c>
      <c r="AQ2" s="246" t="s">
        <v>336</v>
      </c>
      <c r="AR2" s="246" t="s">
        <v>319</v>
      </c>
      <c r="AS2" s="246" t="s">
        <v>320</v>
      </c>
      <c r="AT2" s="246" t="s">
        <v>335</v>
      </c>
      <c r="AU2" s="246" t="s">
        <v>334</v>
      </c>
      <c r="AV2" s="246" t="s">
        <v>333</v>
      </c>
      <c r="AW2" s="246" t="s">
        <v>321</v>
      </c>
      <c r="AX2" s="246" t="s">
        <v>322</v>
      </c>
      <c r="AY2" s="342" t="s">
        <v>323</v>
      </c>
      <c r="AZ2" s="342" t="s">
        <v>324</v>
      </c>
      <c r="BA2" s="246" t="s">
        <v>325</v>
      </c>
      <c r="BB2" s="246" t="s">
        <v>326</v>
      </c>
      <c r="BC2" s="246" t="s">
        <v>327</v>
      </c>
      <c r="BD2" s="246" t="s">
        <v>328</v>
      </c>
      <c r="BE2" s="246" t="s">
        <v>329</v>
      </c>
      <c r="BF2" s="246" t="s">
        <v>330</v>
      </c>
      <c r="BG2" s="246" t="s">
        <v>331</v>
      </c>
      <c r="BH2" s="246" t="s">
        <v>356</v>
      </c>
      <c r="BI2" s="246" t="s">
        <v>351</v>
      </c>
      <c r="BJ2" s="246" t="s">
        <v>342</v>
      </c>
      <c r="BK2" s="247" t="s">
        <v>332</v>
      </c>
      <c r="BL2" s="204"/>
      <c r="BM2" s="37"/>
      <c r="BN2" s="204"/>
      <c r="BO2" s="204"/>
    </row>
    <row r="3" spans="1:67" ht="11.25">
      <c r="A3" s="248">
        <f aca="true" t="shared" si="0" ref="A3:A107">A2+1</f>
        <v>2</v>
      </c>
      <c r="B3" s="249" t="s">
        <v>596</v>
      </c>
      <c r="C3" s="249" t="s">
        <v>108</v>
      </c>
      <c r="D3" s="249" t="s">
        <v>483</v>
      </c>
      <c r="E3" s="249">
        <v>2008</v>
      </c>
      <c r="F3" s="249" t="s">
        <v>204</v>
      </c>
      <c r="G3" s="250">
        <v>7.1</v>
      </c>
      <c r="H3" s="250">
        <v>7.9</v>
      </c>
      <c r="I3" s="250">
        <v>7.1</v>
      </c>
      <c r="J3" s="250">
        <v>6.4</v>
      </c>
      <c r="K3" s="249">
        <v>1.1</v>
      </c>
      <c r="L3" s="249">
        <v>3710</v>
      </c>
      <c r="M3" s="249">
        <v>2007</v>
      </c>
      <c r="N3" s="249">
        <v>2008</v>
      </c>
      <c r="O3" s="249">
        <v>2027</v>
      </c>
      <c r="P3" s="251">
        <v>390</v>
      </c>
      <c r="Q3" s="251">
        <v>110</v>
      </c>
      <c r="R3" s="249">
        <v>100</v>
      </c>
      <c r="S3" s="249">
        <v>780</v>
      </c>
      <c r="T3" s="249">
        <v>2600</v>
      </c>
      <c r="U3" s="249">
        <v>230</v>
      </c>
      <c r="V3" s="249">
        <v>2.7</v>
      </c>
      <c r="W3" s="249">
        <v>21</v>
      </c>
      <c r="X3" s="249">
        <v>70.1</v>
      </c>
      <c r="Y3" s="249">
        <v>6.2</v>
      </c>
      <c r="Z3" s="249">
        <v>1330</v>
      </c>
      <c r="AA3" s="249">
        <v>4560</v>
      </c>
      <c r="AB3" s="249">
        <v>90</v>
      </c>
      <c r="AC3" s="249">
        <v>220</v>
      </c>
      <c r="AD3" s="249">
        <v>940</v>
      </c>
      <c r="AE3" s="249">
        <v>80</v>
      </c>
      <c r="AF3" s="249">
        <v>150</v>
      </c>
      <c r="AG3" s="249">
        <v>910</v>
      </c>
      <c r="AH3" s="249">
        <v>3270</v>
      </c>
      <c r="AI3" s="249">
        <v>230</v>
      </c>
      <c r="AJ3" s="249">
        <v>20</v>
      </c>
      <c r="AK3" s="249">
        <v>800</v>
      </c>
      <c r="AL3" s="249">
        <v>120</v>
      </c>
      <c r="AM3" s="249">
        <v>80</v>
      </c>
      <c r="AN3" s="249">
        <v>140</v>
      </c>
      <c r="AO3" s="249">
        <v>290</v>
      </c>
      <c r="AP3" s="249">
        <v>2470</v>
      </c>
      <c r="AQ3" s="249">
        <v>510</v>
      </c>
      <c r="AR3" s="249">
        <v>470</v>
      </c>
      <c r="AS3" s="249">
        <v>440</v>
      </c>
      <c r="AT3" s="249">
        <v>290</v>
      </c>
      <c r="AU3" s="249">
        <v>1870</v>
      </c>
      <c r="AV3" s="249">
        <v>440</v>
      </c>
      <c r="AW3" s="249">
        <v>380</v>
      </c>
      <c r="AX3" s="249">
        <v>400</v>
      </c>
      <c r="AY3" s="249">
        <v>820</v>
      </c>
      <c r="AZ3" s="249">
        <v>2760</v>
      </c>
      <c r="BA3" s="249">
        <v>2160</v>
      </c>
      <c r="BB3" s="249">
        <v>7</v>
      </c>
      <c r="BC3" s="249">
        <v>11</v>
      </c>
      <c r="BD3" s="249">
        <v>140</v>
      </c>
      <c r="BE3" s="249">
        <v>40</v>
      </c>
      <c r="BF3" s="249">
        <v>70</v>
      </c>
      <c r="BG3" s="249">
        <v>100</v>
      </c>
      <c r="BH3" s="249">
        <v>30</v>
      </c>
      <c r="BI3" s="249">
        <v>190</v>
      </c>
      <c r="BJ3" s="249">
        <v>170</v>
      </c>
      <c r="BK3" s="252">
        <v>150</v>
      </c>
      <c r="BL3" s="205"/>
      <c r="BM3" s="205"/>
      <c r="BN3" s="205"/>
      <c r="BO3" s="205"/>
    </row>
    <row r="4" spans="1:67" ht="11.25">
      <c r="A4" s="248">
        <f t="shared" si="0"/>
        <v>3</v>
      </c>
      <c r="B4" s="249" t="s">
        <v>648</v>
      </c>
      <c r="C4" s="249" t="s">
        <v>649</v>
      </c>
      <c r="D4" s="249" t="s">
        <v>483</v>
      </c>
      <c r="E4" s="249">
        <v>2008</v>
      </c>
      <c r="F4" s="249" t="s">
        <v>204</v>
      </c>
      <c r="G4" s="250">
        <v>6.4</v>
      </c>
      <c r="H4" s="250">
        <v>8</v>
      </c>
      <c r="I4" s="250">
        <v>8.9</v>
      </c>
      <c r="J4" s="250">
        <v>6.3</v>
      </c>
      <c r="K4" s="249">
        <v>1.3</v>
      </c>
      <c r="L4" s="249">
        <v>1150</v>
      </c>
      <c r="M4" s="249">
        <v>2007</v>
      </c>
      <c r="N4" s="249">
        <v>2008</v>
      </c>
      <c r="O4" s="249">
        <v>2027</v>
      </c>
      <c r="P4" s="251">
        <v>120</v>
      </c>
      <c r="Q4" s="251">
        <v>100</v>
      </c>
      <c r="R4" s="249">
        <v>20</v>
      </c>
      <c r="S4" s="249">
        <v>230</v>
      </c>
      <c r="T4" s="249">
        <v>830</v>
      </c>
      <c r="U4" s="249">
        <v>70</v>
      </c>
      <c r="V4" s="249">
        <v>1.7</v>
      </c>
      <c r="W4" s="249">
        <v>20</v>
      </c>
      <c r="X4" s="249">
        <v>72.1</v>
      </c>
      <c r="Y4" s="249">
        <v>6.1</v>
      </c>
      <c r="Z4" s="249">
        <v>430</v>
      </c>
      <c r="AA4" s="249">
        <v>1450</v>
      </c>
      <c r="AB4" s="249">
        <v>20</v>
      </c>
      <c r="AC4" s="249">
        <v>90</v>
      </c>
      <c r="AD4" s="249">
        <v>300</v>
      </c>
      <c r="AE4" s="249">
        <v>20</v>
      </c>
      <c r="AF4" s="249">
        <v>20</v>
      </c>
      <c r="AG4" s="249">
        <v>250</v>
      </c>
      <c r="AH4" s="249">
        <v>1110</v>
      </c>
      <c r="AI4" s="249">
        <v>70</v>
      </c>
      <c r="AJ4" s="249">
        <v>30</v>
      </c>
      <c r="AK4" s="249">
        <v>240</v>
      </c>
      <c r="AL4" s="249">
        <v>30</v>
      </c>
      <c r="AM4" s="249">
        <v>60</v>
      </c>
      <c r="AN4" s="249">
        <v>30</v>
      </c>
      <c r="AO4" s="249">
        <v>100</v>
      </c>
      <c r="AP4" s="249">
        <v>730</v>
      </c>
      <c r="AQ4" s="249">
        <v>280</v>
      </c>
      <c r="AR4" s="249">
        <v>140</v>
      </c>
      <c r="AS4" s="249">
        <v>110</v>
      </c>
      <c r="AT4" s="249">
        <v>90</v>
      </c>
      <c r="AU4" s="249">
        <v>490</v>
      </c>
      <c r="AV4" s="249">
        <v>250</v>
      </c>
      <c r="AW4" s="249">
        <v>130</v>
      </c>
      <c r="AX4" s="249">
        <v>100</v>
      </c>
      <c r="AY4" s="249">
        <v>270</v>
      </c>
      <c r="AZ4" s="249">
        <v>830</v>
      </c>
      <c r="BA4" s="249">
        <v>580</v>
      </c>
      <c r="BB4" s="249">
        <v>2</v>
      </c>
      <c r="BC4" s="249">
        <v>3</v>
      </c>
      <c r="BD4" s="249">
        <v>40</v>
      </c>
      <c r="BE4" s="249">
        <v>20</v>
      </c>
      <c r="BF4" s="249">
        <v>20</v>
      </c>
      <c r="BG4" s="249">
        <v>30</v>
      </c>
      <c r="BH4" s="249">
        <v>6</v>
      </c>
      <c r="BI4" s="249">
        <v>60</v>
      </c>
      <c r="BJ4" s="249">
        <v>50</v>
      </c>
      <c r="BK4" s="252">
        <v>40</v>
      </c>
      <c r="BL4" s="205"/>
      <c r="BM4" s="205"/>
      <c r="BN4" s="205"/>
      <c r="BO4" s="205"/>
    </row>
    <row r="5" spans="1:67" ht="11.25">
      <c r="A5" s="248">
        <f t="shared" si="0"/>
        <v>4</v>
      </c>
      <c r="B5" s="249" t="s">
        <v>597</v>
      </c>
      <c r="C5" s="249" t="s">
        <v>111</v>
      </c>
      <c r="D5" s="249" t="s">
        <v>483</v>
      </c>
      <c r="E5" s="249">
        <v>2008</v>
      </c>
      <c r="F5" s="249" t="s">
        <v>204</v>
      </c>
      <c r="G5" s="250">
        <v>4.4</v>
      </c>
      <c r="H5" s="250">
        <v>6.8</v>
      </c>
      <c r="I5" s="250">
        <v>6.5</v>
      </c>
      <c r="J5" s="250">
        <v>5.6</v>
      </c>
      <c r="K5" s="249">
        <v>1.5</v>
      </c>
      <c r="L5" s="249">
        <v>2300</v>
      </c>
      <c r="M5" s="249">
        <v>2007</v>
      </c>
      <c r="N5" s="249">
        <v>2008</v>
      </c>
      <c r="O5" s="249">
        <v>2027</v>
      </c>
      <c r="P5" s="251">
        <v>360</v>
      </c>
      <c r="Q5" s="251">
        <v>160</v>
      </c>
      <c r="R5" s="249">
        <v>220</v>
      </c>
      <c r="S5" s="249">
        <v>870</v>
      </c>
      <c r="T5" s="249">
        <v>1170</v>
      </c>
      <c r="U5" s="249">
        <v>40</v>
      </c>
      <c r="V5" s="249">
        <v>9.6</v>
      </c>
      <c r="W5" s="249">
        <v>37.8</v>
      </c>
      <c r="X5" s="249">
        <v>50.9</v>
      </c>
      <c r="Y5" s="249">
        <v>1.7</v>
      </c>
      <c r="Z5" s="249">
        <v>940</v>
      </c>
      <c r="AA5" s="249">
        <v>2770</v>
      </c>
      <c r="AB5" s="249">
        <v>140</v>
      </c>
      <c r="AC5" s="249">
        <v>280</v>
      </c>
      <c r="AD5" s="249">
        <v>500</v>
      </c>
      <c r="AE5" s="249">
        <v>20</v>
      </c>
      <c r="AF5" s="249">
        <v>290</v>
      </c>
      <c r="AG5" s="249">
        <v>920</v>
      </c>
      <c r="AH5" s="249">
        <v>1520</v>
      </c>
      <c r="AI5" s="249">
        <v>40</v>
      </c>
      <c r="AJ5" s="249">
        <v>90</v>
      </c>
      <c r="AK5" s="249">
        <v>380</v>
      </c>
      <c r="AL5" s="249">
        <v>30</v>
      </c>
      <c r="AM5" s="249">
        <v>60</v>
      </c>
      <c r="AN5" s="249">
        <v>220</v>
      </c>
      <c r="AO5" s="249">
        <v>100</v>
      </c>
      <c r="AP5" s="249">
        <v>1030</v>
      </c>
      <c r="AQ5" s="249">
        <v>390</v>
      </c>
      <c r="AR5" s="249">
        <v>220</v>
      </c>
      <c r="AS5" s="249">
        <v>700</v>
      </c>
      <c r="AT5" s="249">
        <v>90</v>
      </c>
      <c r="AU5" s="249">
        <v>720</v>
      </c>
      <c r="AV5" s="249">
        <v>360</v>
      </c>
      <c r="AW5" s="249">
        <v>200</v>
      </c>
      <c r="AX5" s="249">
        <v>670</v>
      </c>
      <c r="AY5" s="249">
        <v>470</v>
      </c>
      <c r="AZ5" s="249">
        <v>1130</v>
      </c>
      <c r="BA5" s="249">
        <v>810</v>
      </c>
      <c r="BB5" s="249">
        <v>1</v>
      </c>
      <c r="BC5" s="249">
        <v>4</v>
      </c>
      <c r="BD5" s="249">
        <v>50</v>
      </c>
      <c r="BE5" s="249">
        <v>30</v>
      </c>
      <c r="BF5" s="249">
        <v>40</v>
      </c>
      <c r="BG5" s="249">
        <v>160</v>
      </c>
      <c r="BH5" s="249">
        <v>60</v>
      </c>
      <c r="BI5" s="249">
        <v>80</v>
      </c>
      <c r="BJ5" s="249">
        <v>200</v>
      </c>
      <c r="BK5" s="252">
        <v>60</v>
      </c>
      <c r="BL5" s="205"/>
      <c r="BM5" s="205"/>
      <c r="BN5" s="205"/>
      <c r="BO5" s="205"/>
    </row>
    <row r="6" spans="1:67" ht="11.25">
      <c r="A6" s="248">
        <f t="shared" si="0"/>
        <v>5</v>
      </c>
      <c r="B6" s="249" t="s">
        <v>598</v>
      </c>
      <c r="C6" s="249" t="s">
        <v>110</v>
      </c>
      <c r="D6" s="249" t="s">
        <v>483</v>
      </c>
      <c r="E6" s="249">
        <v>2008</v>
      </c>
      <c r="F6" s="249" t="s">
        <v>204</v>
      </c>
      <c r="G6" s="250">
        <v>1.3</v>
      </c>
      <c r="H6" s="250">
        <v>4.9</v>
      </c>
      <c r="I6" s="250">
        <v>7</v>
      </c>
      <c r="J6" s="250">
        <v>4.4</v>
      </c>
      <c r="K6" s="249">
        <v>3.8</v>
      </c>
      <c r="L6" s="249">
        <v>1400</v>
      </c>
      <c r="M6" s="249">
        <v>2007</v>
      </c>
      <c r="N6" s="249">
        <v>2008</v>
      </c>
      <c r="O6" s="249">
        <v>2027</v>
      </c>
      <c r="P6" s="251">
        <v>230</v>
      </c>
      <c r="Q6" s="251">
        <v>160</v>
      </c>
      <c r="R6" s="249">
        <v>100</v>
      </c>
      <c r="S6" s="249">
        <v>700</v>
      </c>
      <c r="T6" s="249">
        <v>520</v>
      </c>
      <c r="U6" s="249">
        <v>80</v>
      </c>
      <c r="V6" s="249">
        <v>7.1</v>
      </c>
      <c r="W6" s="249">
        <v>50</v>
      </c>
      <c r="X6" s="249">
        <v>37.1</v>
      </c>
      <c r="Y6" s="249">
        <v>5.7</v>
      </c>
      <c r="Z6" s="249">
        <v>680</v>
      </c>
      <c r="AA6" s="249">
        <v>1620</v>
      </c>
      <c r="AB6" s="249">
        <v>140</v>
      </c>
      <c r="AC6" s="249">
        <v>290</v>
      </c>
      <c r="AD6" s="249">
        <v>230</v>
      </c>
      <c r="AE6" s="249">
        <v>20</v>
      </c>
      <c r="AF6" s="249">
        <v>150</v>
      </c>
      <c r="AG6" s="249">
        <v>770</v>
      </c>
      <c r="AH6" s="249">
        <v>620</v>
      </c>
      <c r="AI6" s="249">
        <v>80</v>
      </c>
      <c r="AJ6" s="249">
        <v>30</v>
      </c>
      <c r="AK6" s="249">
        <v>170</v>
      </c>
      <c r="AL6" s="249">
        <v>30</v>
      </c>
      <c r="AM6" s="249">
        <v>160</v>
      </c>
      <c r="AN6" s="249">
        <v>130</v>
      </c>
      <c r="AO6" s="249">
        <v>30</v>
      </c>
      <c r="AP6" s="249">
        <v>480</v>
      </c>
      <c r="AQ6" s="249">
        <v>110</v>
      </c>
      <c r="AR6" s="249">
        <v>340</v>
      </c>
      <c r="AS6" s="249">
        <v>430</v>
      </c>
      <c r="AT6" s="249">
        <v>30</v>
      </c>
      <c r="AU6" s="249">
        <v>410</v>
      </c>
      <c r="AV6" s="249">
        <v>80</v>
      </c>
      <c r="AW6" s="249">
        <v>340</v>
      </c>
      <c r="AX6" s="249">
        <v>360</v>
      </c>
      <c r="AY6" s="249">
        <v>200</v>
      </c>
      <c r="AZ6" s="249">
        <v>510</v>
      </c>
      <c r="BA6" s="249">
        <v>440</v>
      </c>
      <c r="BB6" s="249">
        <v>3</v>
      </c>
      <c r="BC6" s="249">
        <v>1</v>
      </c>
      <c r="BD6" s="249">
        <v>30</v>
      </c>
      <c r="BE6" s="249">
        <v>7</v>
      </c>
      <c r="BF6" s="249">
        <v>60</v>
      </c>
      <c r="BG6" s="249">
        <v>100</v>
      </c>
      <c r="BH6" s="249">
        <v>30</v>
      </c>
      <c r="BI6" s="249">
        <v>40</v>
      </c>
      <c r="BJ6" s="249">
        <v>160</v>
      </c>
      <c r="BK6" s="252">
        <v>30</v>
      </c>
      <c r="BL6" s="205"/>
      <c r="BM6" s="205"/>
      <c r="BN6" s="205"/>
      <c r="BO6" s="205"/>
    </row>
    <row r="7" spans="1:67" ht="11.25">
      <c r="A7" s="248">
        <f t="shared" si="0"/>
        <v>6</v>
      </c>
      <c r="B7" s="249" t="s">
        <v>599</v>
      </c>
      <c r="C7" s="249" t="s">
        <v>109</v>
      </c>
      <c r="D7" s="249" t="s">
        <v>483</v>
      </c>
      <c r="E7" s="249">
        <v>2008</v>
      </c>
      <c r="F7" s="249" t="s">
        <v>204</v>
      </c>
      <c r="G7" s="250">
        <v>3.1</v>
      </c>
      <c r="H7" s="250">
        <v>5.2</v>
      </c>
      <c r="I7" s="250">
        <v>7</v>
      </c>
      <c r="J7" s="250">
        <v>3.2</v>
      </c>
      <c r="K7" s="249">
        <v>1.7</v>
      </c>
      <c r="L7" s="249">
        <v>600</v>
      </c>
      <c r="M7" s="249">
        <v>2007</v>
      </c>
      <c r="N7" s="249">
        <v>2008</v>
      </c>
      <c r="O7" s="249">
        <v>2027</v>
      </c>
      <c r="P7" s="251">
        <v>90</v>
      </c>
      <c r="Q7" s="251">
        <v>150</v>
      </c>
      <c r="R7" s="249">
        <v>40</v>
      </c>
      <c r="S7" s="249">
        <v>230</v>
      </c>
      <c r="T7" s="249">
        <v>320</v>
      </c>
      <c r="U7" s="249">
        <v>10</v>
      </c>
      <c r="V7" s="249">
        <v>6.7</v>
      </c>
      <c r="W7" s="249">
        <v>38.3</v>
      </c>
      <c r="X7" s="249">
        <v>53.3</v>
      </c>
      <c r="Y7" s="249">
        <v>1.7</v>
      </c>
      <c r="Z7" s="249">
        <v>360</v>
      </c>
      <c r="AA7" s="249">
        <v>670</v>
      </c>
      <c r="AB7" s="249">
        <v>40</v>
      </c>
      <c r="AC7" s="249">
        <v>70</v>
      </c>
      <c r="AD7" s="249">
        <v>230</v>
      </c>
      <c r="AE7" s="249">
        <v>20</v>
      </c>
      <c r="AF7" s="249">
        <v>40</v>
      </c>
      <c r="AG7" s="249">
        <v>240</v>
      </c>
      <c r="AH7" s="249">
        <v>380</v>
      </c>
      <c r="AI7" s="249">
        <v>10</v>
      </c>
      <c r="AJ7" s="249">
        <v>40</v>
      </c>
      <c r="AK7" s="249">
        <v>190</v>
      </c>
      <c r="AL7" s="249">
        <v>0</v>
      </c>
      <c r="AM7" s="249">
        <v>50</v>
      </c>
      <c r="AN7" s="249">
        <v>20</v>
      </c>
      <c r="AO7" s="249">
        <v>40</v>
      </c>
      <c r="AP7" s="249">
        <v>340</v>
      </c>
      <c r="AQ7" s="249">
        <v>0</v>
      </c>
      <c r="AR7" s="249">
        <v>120</v>
      </c>
      <c r="AS7" s="249">
        <v>120</v>
      </c>
      <c r="AT7" s="249">
        <v>30</v>
      </c>
      <c r="AU7" s="249">
        <v>290</v>
      </c>
      <c r="AV7" s="249">
        <v>0</v>
      </c>
      <c r="AW7" s="249">
        <v>120</v>
      </c>
      <c r="AX7" s="249">
        <v>110</v>
      </c>
      <c r="AY7" s="249">
        <v>230</v>
      </c>
      <c r="AZ7" s="249">
        <v>380</v>
      </c>
      <c r="BA7" s="249">
        <v>320</v>
      </c>
      <c r="BB7" s="249">
        <v>0</v>
      </c>
      <c r="BC7" s="249">
        <v>1</v>
      </c>
      <c r="BD7" s="249">
        <v>20</v>
      </c>
      <c r="BE7" s="249">
        <v>0</v>
      </c>
      <c r="BF7" s="249">
        <v>20</v>
      </c>
      <c r="BG7" s="249">
        <v>30</v>
      </c>
      <c r="BH7" s="249">
        <v>11</v>
      </c>
      <c r="BI7" s="249">
        <v>20</v>
      </c>
      <c r="BJ7" s="249">
        <v>50</v>
      </c>
      <c r="BK7" s="252">
        <v>20</v>
      </c>
      <c r="BL7" s="205"/>
      <c r="BM7" s="205"/>
      <c r="BN7" s="205"/>
      <c r="BO7" s="205"/>
    </row>
    <row r="8" spans="1:67" ht="11.25">
      <c r="A8" s="248">
        <f t="shared" si="0"/>
        <v>7</v>
      </c>
      <c r="B8" s="249" t="s">
        <v>600</v>
      </c>
      <c r="C8" s="249" t="s">
        <v>209</v>
      </c>
      <c r="D8" s="249" t="s">
        <v>101</v>
      </c>
      <c r="E8" s="249">
        <v>2008</v>
      </c>
      <c r="F8" s="249" t="s">
        <v>204</v>
      </c>
      <c r="G8" s="250">
        <v>2.3</v>
      </c>
      <c r="H8" s="250">
        <v>3.3</v>
      </c>
      <c r="I8" s="250">
        <v>4.9</v>
      </c>
      <c r="J8" s="250">
        <v>2.2</v>
      </c>
      <c r="K8" s="249">
        <v>1.4</v>
      </c>
      <c r="L8" s="249">
        <v>7890</v>
      </c>
      <c r="M8" s="249">
        <v>2007</v>
      </c>
      <c r="N8" s="249">
        <v>2008</v>
      </c>
      <c r="O8" s="249">
        <v>2027</v>
      </c>
      <c r="P8" s="251">
        <v>680</v>
      </c>
      <c r="Q8" s="251">
        <v>90</v>
      </c>
      <c r="R8" s="249">
        <v>90</v>
      </c>
      <c r="S8" s="249">
        <v>1020</v>
      </c>
      <c r="T8" s="249">
        <v>5680</v>
      </c>
      <c r="U8" s="249">
        <v>1100</v>
      </c>
      <c r="V8" s="249">
        <v>1.1</v>
      </c>
      <c r="W8" s="249">
        <v>12.9</v>
      </c>
      <c r="X8" s="249">
        <v>72.1</v>
      </c>
      <c r="Y8" s="249">
        <v>13.9</v>
      </c>
      <c r="Z8" s="249">
        <v>6570</v>
      </c>
      <c r="AA8" s="249">
        <v>10100</v>
      </c>
      <c r="AB8" s="249">
        <v>160</v>
      </c>
      <c r="AC8" s="249">
        <v>940</v>
      </c>
      <c r="AD8" s="249">
        <v>3700</v>
      </c>
      <c r="AE8" s="249">
        <v>1770</v>
      </c>
      <c r="AF8" s="249">
        <v>190</v>
      </c>
      <c r="AG8" s="249">
        <v>1790</v>
      </c>
      <c r="AH8" s="249">
        <v>6970</v>
      </c>
      <c r="AI8" s="249">
        <v>1150</v>
      </c>
      <c r="AJ8" s="249">
        <v>490</v>
      </c>
      <c r="AK8" s="249">
        <v>2470</v>
      </c>
      <c r="AL8" s="249">
        <v>740</v>
      </c>
      <c r="AM8" s="249">
        <v>680</v>
      </c>
      <c r="AN8" s="249">
        <v>260</v>
      </c>
      <c r="AO8" s="249">
        <v>1030</v>
      </c>
      <c r="AP8" s="249">
        <v>4620</v>
      </c>
      <c r="AQ8" s="249">
        <v>1320</v>
      </c>
      <c r="AR8" s="249">
        <v>1130</v>
      </c>
      <c r="AS8" s="249">
        <v>660</v>
      </c>
      <c r="AT8" s="249">
        <v>1030</v>
      </c>
      <c r="AU8" s="249">
        <v>3800</v>
      </c>
      <c r="AV8" s="249">
        <v>850</v>
      </c>
      <c r="AW8" s="249">
        <v>640</v>
      </c>
      <c r="AX8" s="249">
        <v>380</v>
      </c>
      <c r="AY8" s="249">
        <v>2960</v>
      </c>
      <c r="AZ8" s="249">
        <v>5650</v>
      </c>
      <c r="BA8" s="249">
        <v>4830</v>
      </c>
      <c r="BB8" s="249">
        <v>30</v>
      </c>
      <c r="BC8" s="249">
        <v>40</v>
      </c>
      <c r="BD8" s="249">
        <v>270</v>
      </c>
      <c r="BE8" s="249">
        <v>90</v>
      </c>
      <c r="BF8" s="249">
        <v>120</v>
      </c>
      <c r="BG8" s="249">
        <v>100</v>
      </c>
      <c r="BH8" s="249">
        <v>30</v>
      </c>
      <c r="BI8" s="249">
        <v>400</v>
      </c>
      <c r="BJ8" s="249">
        <v>220</v>
      </c>
      <c r="BK8" s="252">
        <v>310</v>
      </c>
      <c r="BL8" s="205"/>
      <c r="BM8" s="205"/>
      <c r="BN8" s="205"/>
      <c r="BO8" s="205"/>
    </row>
    <row r="9" spans="1:67" ht="11.25">
      <c r="A9" s="248">
        <f t="shared" si="0"/>
        <v>8</v>
      </c>
      <c r="B9" s="249" t="s">
        <v>601</v>
      </c>
      <c r="C9" s="249" t="s">
        <v>210</v>
      </c>
      <c r="D9" s="249" t="s">
        <v>101</v>
      </c>
      <c r="E9" s="249">
        <v>2008</v>
      </c>
      <c r="F9" s="249" t="s">
        <v>204</v>
      </c>
      <c r="G9" s="250">
        <v>2.5</v>
      </c>
      <c r="H9" s="250">
        <v>4.4</v>
      </c>
      <c r="I9" s="250">
        <v>4.9</v>
      </c>
      <c r="J9" s="250">
        <v>3.1</v>
      </c>
      <c r="K9" s="249">
        <v>1.8</v>
      </c>
      <c r="L9" s="249">
        <v>660</v>
      </c>
      <c r="M9" s="249">
        <v>2007</v>
      </c>
      <c r="N9" s="249">
        <v>2008</v>
      </c>
      <c r="O9" s="249">
        <v>2027</v>
      </c>
      <c r="P9" s="251">
        <v>70</v>
      </c>
      <c r="Q9" s="251">
        <v>100</v>
      </c>
      <c r="R9" s="249">
        <v>0</v>
      </c>
      <c r="S9" s="249">
        <v>170</v>
      </c>
      <c r="T9" s="249">
        <v>390</v>
      </c>
      <c r="U9" s="249">
        <v>100</v>
      </c>
      <c r="V9" s="249">
        <v>0</v>
      </c>
      <c r="W9" s="249">
        <v>25.7</v>
      </c>
      <c r="X9" s="249">
        <v>59.1</v>
      </c>
      <c r="Y9" s="249">
        <v>15.2</v>
      </c>
      <c r="Z9" s="249">
        <v>460</v>
      </c>
      <c r="AA9" s="249">
        <v>840</v>
      </c>
      <c r="AB9" s="249">
        <v>0</v>
      </c>
      <c r="AC9" s="249">
        <v>90</v>
      </c>
      <c r="AD9" s="249">
        <v>280</v>
      </c>
      <c r="AE9" s="249">
        <v>90</v>
      </c>
      <c r="AF9" s="249">
        <v>0</v>
      </c>
      <c r="AG9" s="249">
        <v>190</v>
      </c>
      <c r="AH9" s="249">
        <v>550</v>
      </c>
      <c r="AI9" s="249">
        <v>100</v>
      </c>
      <c r="AJ9" s="249">
        <v>70</v>
      </c>
      <c r="AK9" s="249">
        <v>190</v>
      </c>
      <c r="AL9" s="249">
        <v>20</v>
      </c>
      <c r="AM9" s="249">
        <v>60</v>
      </c>
      <c r="AN9" s="249">
        <v>30</v>
      </c>
      <c r="AO9" s="249">
        <v>130</v>
      </c>
      <c r="AP9" s="249">
        <v>360</v>
      </c>
      <c r="AQ9" s="249">
        <v>60</v>
      </c>
      <c r="AR9" s="249">
        <v>100</v>
      </c>
      <c r="AS9" s="249">
        <v>90</v>
      </c>
      <c r="AT9" s="249">
        <v>80</v>
      </c>
      <c r="AU9" s="249">
        <v>270</v>
      </c>
      <c r="AV9" s="249">
        <v>40</v>
      </c>
      <c r="AW9" s="249">
        <v>90</v>
      </c>
      <c r="AX9" s="249">
        <v>80</v>
      </c>
      <c r="AY9" s="249">
        <v>260</v>
      </c>
      <c r="AZ9" s="249">
        <v>490</v>
      </c>
      <c r="BA9" s="249">
        <v>350</v>
      </c>
      <c r="BB9" s="249">
        <v>3</v>
      </c>
      <c r="BC9" s="249">
        <v>3</v>
      </c>
      <c r="BD9" s="249">
        <v>19</v>
      </c>
      <c r="BE9" s="249">
        <v>4</v>
      </c>
      <c r="BF9" s="249">
        <v>17</v>
      </c>
      <c r="BG9" s="249">
        <v>19</v>
      </c>
      <c r="BH9" s="249">
        <v>0</v>
      </c>
      <c r="BI9" s="249">
        <v>30</v>
      </c>
      <c r="BJ9" s="249">
        <v>40</v>
      </c>
      <c r="BK9" s="252">
        <v>20</v>
      </c>
      <c r="BL9" s="205"/>
      <c r="BM9" s="205"/>
      <c r="BN9" s="205"/>
      <c r="BO9" s="205"/>
    </row>
    <row r="10" spans="1:67" ht="11.25">
      <c r="A10" s="248">
        <f t="shared" si="0"/>
        <v>9</v>
      </c>
      <c r="B10" s="249" t="s">
        <v>602</v>
      </c>
      <c r="C10" s="249" t="s">
        <v>102</v>
      </c>
      <c r="D10" s="249" t="s">
        <v>102</v>
      </c>
      <c r="E10" s="249">
        <v>2008</v>
      </c>
      <c r="F10" s="249" t="s">
        <v>204</v>
      </c>
      <c r="G10" s="250">
        <v>2.1</v>
      </c>
      <c r="H10" s="250">
        <v>4.1</v>
      </c>
      <c r="I10" s="250">
        <v>4.7</v>
      </c>
      <c r="J10" s="250">
        <v>2.6</v>
      </c>
      <c r="K10" s="249">
        <v>2</v>
      </c>
      <c r="L10" s="249">
        <v>6900</v>
      </c>
      <c r="M10" s="249">
        <v>2007</v>
      </c>
      <c r="N10" s="249">
        <v>2008</v>
      </c>
      <c r="O10" s="249">
        <v>2027</v>
      </c>
      <c r="P10" s="251">
        <v>740</v>
      </c>
      <c r="Q10" s="251">
        <v>110</v>
      </c>
      <c r="R10" s="249">
        <v>210</v>
      </c>
      <c r="S10" s="249">
        <v>1490</v>
      </c>
      <c r="T10" s="249">
        <v>4880</v>
      </c>
      <c r="U10" s="249">
        <v>320</v>
      </c>
      <c r="V10" s="249">
        <v>3</v>
      </c>
      <c r="W10" s="249">
        <v>21.6</v>
      </c>
      <c r="X10" s="249">
        <v>70.6</v>
      </c>
      <c r="Y10" s="249">
        <v>4.6</v>
      </c>
      <c r="Z10" s="249">
        <v>4400</v>
      </c>
      <c r="AA10" s="249">
        <v>7390</v>
      </c>
      <c r="AB10" s="249">
        <v>190</v>
      </c>
      <c r="AC10" s="249">
        <v>670</v>
      </c>
      <c r="AD10" s="249">
        <v>2970</v>
      </c>
      <c r="AE10" s="249">
        <v>570</v>
      </c>
      <c r="AF10" s="249">
        <v>240</v>
      </c>
      <c r="AG10" s="249">
        <v>1620</v>
      </c>
      <c r="AH10" s="249">
        <v>5200</v>
      </c>
      <c r="AI10" s="249">
        <v>330</v>
      </c>
      <c r="AJ10" s="249">
        <v>410</v>
      </c>
      <c r="AK10" s="249">
        <v>2150</v>
      </c>
      <c r="AL10" s="249">
        <v>410</v>
      </c>
      <c r="AM10" s="249">
        <v>310</v>
      </c>
      <c r="AN10" s="249">
        <v>360</v>
      </c>
      <c r="AO10" s="249">
        <v>700</v>
      </c>
      <c r="AP10" s="249">
        <v>3800</v>
      </c>
      <c r="AQ10" s="249">
        <v>700</v>
      </c>
      <c r="AR10" s="249">
        <v>840</v>
      </c>
      <c r="AS10" s="249">
        <v>780</v>
      </c>
      <c r="AT10" s="249">
        <v>810</v>
      </c>
      <c r="AU10" s="249">
        <v>3460</v>
      </c>
      <c r="AV10" s="249">
        <v>610</v>
      </c>
      <c r="AW10" s="249">
        <v>770</v>
      </c>
      <c r="AX10" s="249">
        <v>720</v>
      </c>
      <c r="AY10" s="249">
        <v>2560</v>
      </c>
      <c r="AZ10" s="249">
        <v>4500</v>
      </c>
      <c r="BA10" s="249">
        <v>4270</v>
      </c>
      <c r="BB10" s="249">
        <v>10</v>
      </c>
      <c r="BC10" s="249">
        <v>30</v>
      </c>
      <c r="BD10" s="249">
        <v>250</v>
      </c>
      <c r="BE10" s="249">
        <v>60</v>
      </c>
      <c r="BF10" s="249">
        <v>140</v>
      </c>
      <c r="BG10" s="249">
        <v>180</v>
      </c>
      <c r="BH10" s="249">
        <v>60</v>
      </c>
      <c r="BI10" s="249">
        <v>340</v>
      </c>
      <c r="BJ10" s="249">
        <v>320</v>
      </c>
      <c r="BK10" s="252">
        <v>290</v>
      </c>
      <c r="BL10" s="205"/>
      <c r="BM10" s="205"/>
      <c r="BN10" s="205"/>
      <c r="BO10" s="205"/>
    </row>
    <row r="11" spans="1:67" ht="11.25">
      <c r="A11" s="248">
        <f t="shared" si="0"/>
        <v>10</v>
      </c>
      <c r="B11" s="249" t="s">
        <v>603</v>
      </c>
      <c r="C11" s="249" t="s">
        <v>163</v>
      </c>
      <c r="D11" s="249" t="s">
        <v>104</v>
      </c>
      <c r="E11" s="249">
        <v>2008</v>
      </c>
      <c r="F11" s="249" t="s">
        <v>204</v>
      </c>
      <c r="G11" s="250">
        <v>4.2</v>
      </c>
      <c r="H11" s="250">
        <v>7.1</v>
      </c>
      <c r="I11" s="250">
        <v>6.4</v>
      </c>
      <c r="J11" s="250">
        <v>4.1</v>
      </c>
      <c r="K11" s="249">
        <v>1.7</v>
      </c>
      <c r="L11" s="249">
        <v>1040</v>
      </c>
      <c r="M11" s="249">
        <v>2007</v>
      </c>
      <c r="N11" s="249">
        <v>2008</v>
      </c>
      <c r="O11" s="249">
        <v>2027</v>
      </c>
      <c r="P11" s="251">
        <v>100</v>
      </c>
      <c r="Q11" s="251">
        <v>90</v>
      </c>
      <c r="R11" s="249">
        <v>0</v>
      </c>
      <c r="S11" s="249">
        <v>220</v>
      </c>
      <c r="T11" s="249">
        <v>790</v>
      </c>
      <c r="U11" s="249">
        <v>30</v>
      </c>
      <c r="V11" s="249">
        <v>0</v>
      </c>
      <c r="W11" s="249">
        <v>21.1</v>
      </c>
      <c r="X11" s="249">
        <v>75.9</v>
      </c>
      <c r="Y11" s="249">
        <v>2.9</v>
      </c>
      <c r="Z11" s="249">
        <v>610</v>
      </c>
      <c r="AA11" s="249">
        <v>1360</v>
      </c>
      <c r="AB11" s="249">
        <v>10</v>
      </c>
      <c r="AC11" s="249">
        <v>100</v>
      </c>
      <c r="AD11" s="249">
        <v>500</v>
      </c>
      <c r="AE11" s="249">
        <v>0</v>
      </c>
      <c r="AF11" s="249">
        <v>0</v>
      </c>
      <c r="AG11" s="249">
        <v>280</v>
      </c>
      <c r="AH11" s="249">
        <v>1040</v>
      </c>
      <c r="AI11" s="249">
        <v>40</v>
      </c>
      <c r="AJ11" s="249">
        <v>180</v>
      </c>
      <c r="AK11" s="249">
        <v>290</v>
      </c>
      <c r="AL11" s="249">
        <v>30</v>
      </c>
      <c r="AM11" s="249">
        <v>80</v>
      </c>
      <c r="AN11" s="249">
        <v>20</v>
      </c>
      <c r="AO11" s="249">
        <v>190</v>
      </c>
      <c r="AP11" s="249">
        <v>790</v>
      </c>
      <c r="AQ11" s="249">
        <v>60</v>
      </c>
      <c r="AR11" s="249">
        <v>220</v>
      </c>
      <c r="AS11" s="249">
        <v>60</v>
      </c>
      <c r="AT11" s="249">
        <v>180</v>
      </c>
      <c r="AU11" s="249">
        <v>570</v>
      </c>
      <c r="AV11" s="249">
        <v>40</v>
      </c>
      <c r="AW11" s="249">
        <v>180</v>
      </c>
      <c r="AX11" s="249">
        <v>40</v>
      </c>
      <c r="AY11" s="249">
        <v>470</v>
      </c>
      <c r="AZ11" s="249">
        <v>980</v>
      </c>
      <c r="BA11" s="249">
        <v>750</v>
      </c>
      <c r="BB11" s="249">
        <v>1</v>
      </c>
      <c r="BC11" s="249">
        <v>7</v>
      </c>
      <c r="BD11" s="249">
        <v>40</v>
      </c>
      <c r="BE11" s="249">
        <v>4</v>
      </c>
      <c r="BF11" s="249">
        <v>30</v>
      </c>
      <c r="BG11" s="249">
        <v>11</v>
      </c>
      <c r="BH11" s="249">
        <v>1</v>
      </c>
      <c r="BI11" s="249">
        <v>50</v>
      </c>
      <c r="BJ11" s="249">
        <v>40</v>
      </c>
      <c r="BK11" s="252">
        <v>50</v>
      </c>
      <c r="BL11" s="205"/>
      <c r="BM11" s="205"/>
      <c r="BN11" s="205"/>
      <c r="BO11" s="205"/>
    </row>
    <row r="12" spans="1:67" ht="11.25">
      <c r="A12" s="248">
        <f t="shared" si="0"/>
        <v>11</v>
      </c>
      <c r="B12" s="249" t="s">
        <v>604</v>
      </c>
      <c r="C12" s="249" t="s">
        <v>153</v>
      </c>
      <c r="D12" s="249" t="s">
        <v>104</v>
      </c>
      <c r="E12" s="249">
        <v>2008</v>
      </c>
      <c r="F12" s="249" t="s">
        <v>204</v>
      </c>
      <c r="G12" s="250">
        <v>3.8</v>
      </c>
      <c r="H12" s="250">
        <v>5.3</v>
      </c>
      <c r="I12" s="250">
        <v>6.4</v>
      </c>
      <c r="J12" s="250">
        <v>3.9</v>
      </c>
      <c r="K12" s="249">
        <v>1.4</v>
      </c>
      <c r="L12" s="249">
        <v>660</v>
      </c>
      <c r="M12" s="249">
        <v>2007</v>
      </c>
      <c r="N12" s="249">
        <v>2008</v>
      </c>
      <c r="O12" s="249">
        <v>2027</v>
      </c>
      <c r="P12" s="251">
        <v>40</v>
      </c>
      <c r="Q12" s="251">
        <v>60</v>
      </c>
      <c r="R12" s="249">
        <v>0</v>
      </c>
      <c r="S12" s="249">
        <v>30</v>
      </c>
      <c r="T12" s="249">
        <v>550</v>
      </c>
      <c r="U12" s="249">
        <v>80</v>
      </c>
      <c r="V12" s="249">
        <v>0</v>
      </c>
      <c r="W12" s="249">
        <v>4.5</v>
      </c>
      <c r="X12" s="249">
        <v>83.4</v>
      </c>
      <c r="Y12" s="249">
        <v>12.1</v>
      </c>
      <c r="Z12" s="249">
        <v>460</v>
      </c>
      <c r="AA12" s="249">
        <v>980</v>
      </c>
      <c r="AB12" s="249">
        <v>0</v>
      </c>
      <c r="AC12" s="249">
        <v>30</v>
      </c>
      <c r="AD12" s="249">
        <v>380</v>
      </c>
      <c r="AE12" s="249">
        <v>50</v>
      </c>
      <c r="AF12" s="249">
        <v>0</v>
      </c>
      <c r="AG12" s="249">
        <v>60</v>
      </c>
      <c r="AH12" s="249">
        <v>830</v>
      </c>
      <c r="AI12" s="249">
        <v>90</v>
      </c>
      <c r="AJ12" s="249">
        <v>130</v>
      </c>
      <c r="AK12" s="249">
        <v>230</v>
      </c>
      <c r="AL12" s="249">
        <v>20</v>
      </c>
      <c r="AM12" s="249">
        <v>20</v>
      </c>
      <c r="AN12" s="249">
        <v>10</v>
      </c>
      <c r="AO12" s="249">
        <v>220</v>
      </c>
      <c r="AP12" s="249">
        <v>580</v>
      </c>
      <c r="AQ12" s="249">
        <v>30</v>
      </c>
      <c r="AR12" s="249">
        <v>50</v>
      </c>
      <c r="AS12" s="249">
        <v>10</v>
      </c>
      <c r="AT12" s="249">
        <v>170</v>
      </c>
      <c r="AU12" s="249">
        <v>370</v>
      </c>
      <c r="AV12" s="249">
        <v>10</v>
      </c>
      <c r="AW12" s="249">
        <v>20</v>
      </c>
      <c r="AX12" s="249">
        <v>10</v>
      </c>
      <c r="AY12" s="249">
        <v>360</v>
      </c>
      <c r="AZ12" s="249">
        <v>800</v>
      </c>
      <c r="BA12" s="249">
        <v>540</v>
      </c>
      <c r="BB12" s="249">
        <v>2</v>
      </c>
      <c r="BC12" s="249">
        <v>8</v>
      </c>
      <c r="BD12" s="249">
        <v>30</v>
      </c>
      <c r="BE12" s="249">
        <v>1</v>
      </c>
      <c r="BF12" s="249">
        <v>4</v>
      </c>
      <c r="BG12" s="249">
        <v>2</v>
      </c>
      <c r="BH12" s="249">
        <v>0</v>
      </c>
      <c r="BI12" s="249">
        <v>40</v>
      </c>
      <c r="BJ12" s="249">
        <v>6</v>
      </c>
      <c r="BK12" s="252">
        <v>30</v>
      </c>
      <c r="BL12" s="205"/>
      <c r="BM12" s="205"/>
      <c r="BN12" s="205"/>
      <c r="BO12" s="205"/>
    </row>
    <row r="13" spans="1:67" ht="11.25">
      <c r="A13" s="248">
        <f t="shared" si="0"/>
        <v>12</v>
      </c>
      <c r="B13" s="249" t="s">
        <v>605</v>
      </c>
      <c r="C13" s="249" t="s">
        <v>103</v>
      </c>
      <c r="D13" s="249" t="s">
        <v>211</v>
      </c>
      <c r="E13" s="249">
        <v>2008</v>
      </c>
      <c r="F13" s="249" t="s">
        <v>204</v>
      </c>
      <c r="G13" s="250">
        <v>4.3</v>
      </c>
      <c r="H13" s="250">
        <v>6.1</v>
      </c>
      <c r="I13" s="250">
        <v>6.9</v>
      </c>
      <c r="J13" s="250">
        <v>3.6</v>
      </c>
      <c r="K13" s="249">
        <v>1.4</v>
      </c>
      <c r="L13" s="249">
        <v>1580</v>
      </c>
      <c r="M13" s="249">
        <v>2007</v>
      </c>
      <c r="N13" s="249">
        <v>2008</v>
      </c>
      <c r="O13" s="249">
        <v>2027</v>
      </c>
      <c r="P13" s="251">
        <v>260</v>
      </c>
      <c r="Q13" s="251">
        <v>160</v>
      </c>
      <c r="R13" s="249">
        <v>170</v>
      </c>
      <c r="S13" s="249">
        <v>690</v>
      </c>
      <c r="T13" s="249">
        <v>660</v>
      </c>
      <c r="U13" s="249">
        <v>60</v>
      </c>
      <c r="V13" s="249">
        <v>10.8</v>
      </c>
      <c r="W13" s="249">
        <v>43.7</v>
      </c>
      <c r="X13" s="249">
        <v>41.7</v>
      </c>
      <c r="Y13" s="249">
        <v>3.8</v>
      </c>
      <c r="Z13" s="249">
        <v>760</v>
      </c>
      <c r="AA13" s="249">
        <v>1530</v>
      </c>
      <c r="AB13" s="249">
        <v>50</v>
      </c>
      <c r="AC13" s="249">
        <v>340</v>
      </c>
      <c r="AD13" s="249">
        <v>340</v>
      </c>
      <c r="AE13" s="249">
        <v>30</v>
      </c>
      <c r="AF13" s="249">
        <v>190</v>
      </c>
      <c r="AG13" s="249">
        <v>680</v>
      </c>
      <c r="AH13" s="249">
        <v>610</v>
      </c>
      <c r="AI13" s="249">
        <v>50</v>
      </c>
      <c r="AJ13" s="249">
        <v>70</v>
      </c>
      <c r="AK13" s="249">
        <v>230</v>
      </c>
      <c r="AL13" s="249">
        <v>40</v>
      </c>
      <c r="AM13" s="249">
        <v>180</v>
      </c>
      <c r="AN13" s="249">
        <v>160</v>
      </c>
      <c r="AO13" s="249">
        <v>90</v>
      </c>
      <c r="AP13" s="249">
        <v>450</v>
      </c>
      <c r="AQ13" s="249">
        <v>70</v>
      </c>
      <c r="AR13" s="249">
        <v>280</v>
      </c>
      <c r="AS13" s="249">
        <v>400</v>
      </c>
      <c r="AT13" s="249">
        <v>90</v>
      </c>
      <c r="AU13" s="249">
        <v>500</v>
      </c>
      <c r="AV13" s="249">
        <v>70</v>
      </c>
      <c r="AW13" s="249">
        <v>230</v>
      </c>
      <c r="AX13" s="249">
        <v>460</v>
      </c>
      <c r="AY13" s="249">
        <v>300</v>
      </c>
      <c r="AZ13" s="249">
        <v>540</v>
      </c>
      <c r="BA13" s="249">
        <v>590</v>
      </c>
      <c r="BB13" s="249">
        <v>2</v>
      </c>
      <c r="BC13" s="249">
        <v>4</v>
      </c>
      <c r="BD13" s="249">
        <v>40</v>
      </c>
      <c r="BE13" s="249">
        <v>7</v>
      </c>
      <c r="BF13" s="249">
        <v>40</v>
      </c>
      <c r="BG13" s="249">
        <v>120</v>
      </c>
      <c r="BH13" s="249">
        <v>50</v>
      </c>
      <c r="BI13" s="249">
        <v>50</v>
      </c>
      <c r="BJ13" s="249">
        <v>160</v>
      </c>
      <c r="BK13" s="252">
        <v>40</v>
      </c>
      <c r="BL13" s="205"/>
      <c r="BM13" s="205"/>
      <c r="BN13" s="205"/>
      <c r="BO13" s="205"/>
    </row>
    <row r="14" spans="1:67" ht="11.25">
      <c r="A14" s="248">
        <f t="shared" si="0"/>
        <v>13</v>
      </c>
      <c r="B14" s="249" t="s">
        <v>73</v>
      </c>
      <c r="C14" s="249" t="s">
        <v>57</v>
      </c>
      <c r="D14" s="249" t="s">
        <v>106</v>
      </c>
      <c r="E14" s="249">
        <v>2008</v>
      </c>
      <c r="F14" s="249" t="s">
        <v>204</v>
      </c>
      <c r="G14" s="250">
        <v>4.4</v>
      </c>
      <c r="H14" s="250">
        <v>5.3</v>
      </c>
      <c r="I14" s="250">
        <v>5.5</v>
      </c>
      <c r="J14" s="250">
        <v>0.5</v>
      </c>
      <c r="K14" s="249">
        <v>1.2</v>
      </c>
      <c r="L14" s="249">
        <v>950</v>
      </c>
      <c r="M14" s="249">
        <v>2007</v>
      </c>
      <c r="N14" s="249">
        <v>2008</v>
      </c>
      <c r="O14" s="249">
        <v>2027</v>
      </c>
      <c r="P14" s="251">
        <v>70</v>
      </c>
      <c r="Q14" s="251">
        <v>70</v>
      </c>
      <c r="R14" s="249">
        <v>20</v>
      </c>
      <c r="S14" s="249">
        <v>130</v>
      </c>
      <c r="T14" s="249">
        <v>460</v>
      </c>
      <c r="U14" s="249">
        <v>340</v>
      </c>
      <c r="V14" s="249">
        <v>2.1</v>
      </c>
      <c r="W14" s="249">
        <v>13.7</v>
      </c>
      <c r="X14" s="249">
        <v>48.4</v>
      </c>
      <c r="Y14" s="249">
        <v>35.8</v>
      </c>
      <c r="Z14" s="249">
        <v>1360</v>
      </c>
      <c r="AA14" s="249">
        <v>1500</v>
      </c>
      <c r="AB14" s="249">
        <v>50</v>
      </c>
      <c r="AC14" s="249">
        <v>230</v>
      </c>
      <c r="AD14" s="249">
        <v>670</v>
      </c>
      <c r="AE14" s="249">
        <v>410</v>
      </c>
      <c r="AF14" s="249">
        <v>40</v>
      </c>
      <c r="AG14" s="249">
        <v>270</v>
      </c>
      <c r="AH14" s="249">
        <v>840</v>
      </c>
      <c r="AI14" s="249">
        <v>350</v>
      </c>
      <c r="AJ14" s="249">
        <v>170</v>
      </c>
      <c r="AK14" s="249">
        <v>430</v>
      </c>
      <c r="AL14" s="249">
        <v>70</v>
      </c>
      <c r="AM14" s="249">
        <v>190</v>
      </c>
      <c r="AN14" s="249">
        <v>40</v>
      </c>
      <c r="AO14" s="249">
        <v>30</v>
      </c>
      <c r="AP14" s="249">
        <v>650</v>
      </c>
      <c r="AQ14" s="249">
        <v>160</v>
      </c>
      <c r="AR14" s="249">
        <v>250</v>
      </c>
      <c r="AS14" s="249">
        <v>20</v>
      </c>
      <c r="AT14" s="249">
        <v>20</v>
      </c>
      <c r="AU14" s="249">
        <v>350</v>
      </c>
      <c r="AV14" s="249">
        <v>90</v>
      </c>
      <c r="AW14" s="249">
        <v>120</v>
      </c>
      <c r="AX14" s="249">
        <v>10</v>
      </c>
      <c r="AY14" s="249">
        <v>600</v>
      </c>
      <c r="AZ14" s="249">
        <v>680</v>
      </c>
      <c r="BA14" s="249">
        <v>370</v>
      </c>
      <c r="BB14" s="249">
        <v>10</v>
      </c>
      <c r="BC14" s="249">
        <v>1</v>
      </c>
      <c r="BD14" s="249">
        <v>20</v>
      </c>
      <c r="BE14" s="249">
        <v>8</v>
      </c>
      <c r="BF14" s="249">
        <v>20</v>
      </c>
      <c r="BG14" s="249">
        <v>2</v>
      </c>
      <c r="BH14" s="249">
        <v>4</v>
      </c>
      <c r="BI14" s="249">
        <v>30</v>
      </c>
      <c r="BJ14" s="249">
        <v>20</v>
      </c>
      <c r="BK14" s="252">
        <v>30</v>
      </c>
      <c r="BL14" s="205"/>
      <c r="BM14" s="205"/>
      <c r="BN14" s="205"/>
      <c r="BO14" s="205"/>
    </row>
    <row r="15" spans="1:67" ht="11.25">
      <c r="A15" s="248">
        <f t="shared" si="0"/>
        <v>14</v>
      </c>
      <c r="B15" s="249" t="s">
        <v>606</v>
      </c>
      <c r="C15" s="249" t="s">
        <v>105</v>
      </c>
      <c r="D15" s="249" t="s">
        <v>211</v>
      </c>
      <c r="E15" s="249">
        <v>2008</v>
      </c>
      <c r="F15" s="249" t="s">
        <v>204</v>
      </c>
      <c r="G15" s="250">
        <v>5.1</v>
      </c>
      <c r="H15" s="250">
        <v>6</v>
      </c>
      <c r="I15" s="250">
        <v>5.6</v>
      </c>
      <c r="J15" s="250">
        <v>2.5</v>
      </c>
      <c r="K15" s="249">
        <v>1.2</v>
      </c>
      <c r="L15" s="249">
        <v>560</v>
      </c>
      <c r="M15" s="249">
        <v>2007</v>
      </c>
      <c r="N15" s="249">
        <v>2008</v>
      </c>
      <c r="O15" s="249">
        <v>2027</v>
      </c>
      <c r="P15" s="251">
        <v>60</v>
      </c>
      <c r="Q15" s="251">
        <v>110</v>
      </c>
      <c r="R15" s="249">
        <v>10</v>
      </c>
      <c r="S15" s="249">
        <v>190</v>
      </c>
      <c r="T15" s="249">
        <v>300</v>
      </c>
      <c r="U15" s="249">
        <v>60</v>
      </c>
      <c r="V15" s="249">
        <v>1.8</v>
      </c>
      <c r="W15" s="249">
        <v>33.9</v>
      </c>
      <c r="X15" s="249">
        <v>53.6</v>
      </c>
      <c r="Y15" s="249">
        <v>10.7</v>
      </c>
      <c r="Z15" s="249">
        <v>640</v>
      </c>
      <c r="AA15" s="249">
        <v>1040</v>
      </c>
      <c r="AB15" s="249">
        <v>20</v>
      </c>
      <c r="AC15" s="249">
        <v>140</v>
      </c>
      <c r="AD15" s="249">
        <v>400</v>
      </c>
      <c r="AE15" s="249">
        <v>80</v>
      </c>
      <c r="AF15" s="249">
        <v>10</v>
      </c>
      <c r="AG15" s="249">
        <v>330</v>
      </c>
      <c r="AH15" s="249">
        <v>610</v>
      </c>
      <c r="AI15" s="249">
        <v>90</v>
      </c>
      <c r="AJ15" s="249">
        <v>140</v>
      </c>
      <c r="AK15" s="249">
        <v>210</v>
      </c>
      <c r="AL15" s="249">
        <v>50</v>
      </c>
      <c r="AM15" s="249">
        <v>100</v>
      </c>
      <c r="AN15" s="249">
        <v>40</v>
      </c>
      <c r="AO15" s="249">
        <v>60</v>
      </c>
      <c r="AP15" s="249">
        <v>500</v>
      </c>
      <c r="AQ15" s="249">
        <v>50</v>
      </c>
      <c r="AR15" s="249">
        <v>220</v>
      </c>
      <c r="AS15" s="249">
        <v>110</v>
      </c>
      <c r="AT15" s="249">
        <v>50</v>
      </c>
      <c r="AU15" s="249">
        <v>220</v>
      </c>
      <c r="AV15" s="249">
        <v>30</v>
      </c>
      <c r="AW15" s="249">
        <v>130</v>
      </c>
      <c r="AX15" s="249">
        <v>60</v>
      </c>
      <c r="AY15" s="249">
        <v>350</v>
      </c>
      <c r="AZ15" s="249">
        <v>560</v>
      </c>
      <c r="BA15" s="249">
        <v>270</v>
      </c>
      <c r="BB15" s="249">
        <v>2</v>
      </c>
      <c r="BC15" s="249">
        <v>2</v>
      </c>
      <c r="BD15" s="249">
        <v>16</v>
      </c>
      <c r="BE15" s="249">
        <v>3</v>
      </c>
      <c r="BF15" s="249">
        <v>20</v>
      </c>
      <c r="BG15" s="249">
        <v>14</v>
      </c>
      <c r="BH15" s="249">
        <v>1</v>
      </c>
      <c r="BI15" s="249">
        <v>20</v>
      </c>
      <c r="BJ15" s="249">
        <v>30</v>
      </c>
      <c r="BK15" s="252">
        <v>18</v>
      </c>
      <c r="BL15" s="205"/>
      <c r="BM15" s="205"/>
      <c r="BN15" s="205"/>
      <c r="BO15" s="205"/>
    </row>
    <row r="16" spans="1:67" ht="11.25">
      <c r="A16" s="248">
        <f t="shared" si="0"/>
        <v>15</v>
      </c>
      <c r="B16" s="249" t="s">
        <v>645</v>
      </c>
      <c r="C16" s="249" t="s">
        <v>483</v>
      </c>
      <c r="D16" s="249" t="s">
        <v>483</v>
      </c>
      <c r="E16" s="249">
        <v>2008</v>
      </c>
      <c r="F16" s="249" t="s">
        <v>204</v>
      </c>
      <c r="G16" s="250">
        <v>4.1</v>
      </c>
      <c r="H16" s="250">
        <v>6.7</v>
      </c>
      <c r="I16" s="250">
        <v>6.9</v>
      </c>
      <c r="J16" s="250">
        <v>5.6</v>
      </c>
      <c r="K16" s="249">
        <v>1.6</v>
      </c>
      <c r="L16" s="249">
        <v>9160</v>
      </c>
      <c r="M16" s="249">
        <v>2007</v>
      </c>
      <c r="N16" s="249">
        <v>2008</v>
      </c>
      <c r="O16" s="249">
        <v>2027</v>
      </c>
      <c r="P16" s="251">
        <v>1190</v>
      </c>
      <c r="Q16" s="251">
        <v>130</v>
      </c>
      <c r="R16" s="249">
        <v>480</v>
      </c>
      <c r="S16" s="249">
        <v>2810</v>
      </c>
      <c r="T16" s="249">
        <v>5440</v>
      </c>
      <c r="U16" s="249">
        <v>430</v>
      </c>
      <c r="V16" s="249">
        <v>5.2</v>
      </c>
      <c r="W16" s="249">
        <v>30.7</v>
      </c>
      <c r="X16" s="249">
        <v>59.4</v>
      </c>
      <c r="Y16" s="249">
        <v>4.7</v>
      </c>
      <c r="Z16" s="249">
        <v>3740</v>
      </c>
      <c r="AA16" s="249">
        <v>11070</v>
      </c>
      <c r="AB16" s="249">
        <v>430</v>
      </c>
      <c r="AC16" s="249">
        <v>950</v>
      </c>
      <c r="AD16" s="249">
        <v>2200</v>
      </c>
      <c r="AE16" s="249">
        <v>160</v>
      </c>
      <c r="AF16" s="249">
        <v>650</v>
      </c>
      <c r="AG16" s="249">
        <v>3090</v>
      </c>
      <c r="AH16" s="249">
        <v>6900</v>
      </c>
      <c r="AI16" s="249">
        <v>430</v>
      </c>
      <c r="AJ16" s="249">
        <v>210</v>
      </c>
      <c r="AK16" s="249">
        <v>1780</v>
      </c>
      <c r="AL16" s="249">
        <v>210</v>
      </c>
      <c r="AM16" s="249">
        <v>410</v>
      </c>
      <c r="AN16" s="249">
        <v>540</v>
      </c>
      <c r="AO16" s="249">
        <v>560</v>
      </c>
      <c r="AP16" s="249">
        <v>5050</v>
      </c>
      <c r="AQ16" s="249">
        <v>1290</v>
      </c>
      <c r="AR16" s="249">
        <v>1290</v>
      </c>
      <c r="AS16" s="249">
        <v>1800</v>
      </c>
      <c r="AT16" s="249">
        <v>530</v>
      </c>
      <c r="AU16" s="249">
        <v>3780</v>
      </c>
      <c r="AV16" s="249">
        <v>1130</v>
      </c>
      <c r="AW16" s="249">
        <v>1170</v>
      </c>
      <c r="AX16" s="249">
        <v>1640</v>
      </c>
      <c r="AY16" s="249">
        <v>1990</v>
      </c>
      <c r="AZ16" s="249">
        <v>5610</v>
      </c>
      <c r="BA16" s="249">
        <v>4310</v>
      </c>
      <c r="BB16" s="249">
        <v>13</v>
      </c>
      <c r="BC16" s="249">
        <v>20</v>
      </c>
      <c r="BD16" s="249">
        <v>280</v>
      </c>
      <c r="BE16" s="249">
        <v>100</v>
      </c>
      <c r="BF16" s="249">
        <v>210</v>
      </c>
      <c r="BG16" s="249">
        <v>410</v>
      </c>
      <c r="BH16" s="249">
        <v>140</v>
      </c>
      <c r="BI16" s="249">
        <v>400</v>
      </c>
      <c r="BJ16" s="249">
        <v>620</v>
      </c>
      <c r="BK16" s="252">
        <v>300</v>
      </c>
      <c r="BL16" s="205"/>
      <c r="BM16" s="205"/>
      <c r="BN16" s="205"/>
      <c r="BO16" s="205"/>
    </row>
    <row r="17" spans="1:67" ht="11.25">
      <c r="A17" s="248">
        <f t="shared" si="0"/>
        <v>16</v>
      </c>
      <c r="B17" s="249" t="s">
        <v>607</v>
      </c>
      <c r="C17" s="249" t="s">
        <v>101</v>
      </c>
      <c r="D17" s="249" t="s">
        <v>101</v>
      </c>
      <c r="E17" s="249">
        <v>2008</v>
      </c>
      <c r="F17" s="249" t="s">
        <v>204</v>
      </c>
      <c r="G17" s="250">
        <v>2.5</v>
      </c>
      <c r="H17" s="250">
        <v>3.4</v>
      </c>
      <c r="I17" s="250">
        <v>4.9</v>
      </c>
      <c r="J17" s="250">
        <v>2.2</v>
      </c>
      <c r="K17" s="249">
        <v>1.4</v>
      </c>
      <c r="L17" s="249">
        <v>8550</v>
      </c>
      <c r="M17" s="249">
        <v>2007</v>
      </c>
      <c r="N17" s="249">
        <v>2008</v>
      </c>
      <c r="O17" s="249">
        <v>2027</v>
      </c>
      <c r="P17" s="251">
        <v>740</v>
      </c>
      <c r="Q17" s="251">
        <v>90</v>
      </c>
      <c r="R17" s="249">
        <v>90</v>
      </c>
      <c r="S17" s="249">
        <v>1190</v>
      </c>
      <c r="T17" s="249">
        <v>6080</v>
      </c>
      <c r="U17" s="249">
        <v>1190</v>
      </c>
      <c r="V17" s="249">
        <v>1.1</v>
      </c>
      <c r="W17" s="249">
        <v>13.9</v>
      </c>
      <c r="X17" s="249">
        <v>71.1</v>
      </c>
      <c r="Y17" s="249">
        <v>13.9</v>
      </c>
      <c r="Z17" s="249">
        <v>7030</v>
      </c>
      <c r="AA17" s="249">
        <v>10930</v>
      </c>
      <c r="AB17" s="249">
        <v>160</v>
      </c>
      <c r="AC17" s="249">
        <v>1020</v>
      </c>
      <c r="AD17" s="249">
        <v>3990</v>
      </c>
      <c r="AE17" s="249">
        <v>1860</v>
      </c>
      <c r="AF17" s="249">
        <v>190</v>
      </c>
      <c r="AG17" s="249">
        <v>1970</v>
      </c>
      <c r="AH17" s="249">
        <v>7530</v>
      </c>
      <c r="AI17" s="249">
        <v>1240</v>
      </c>
      <c r="AJ17" s="249">
        <v>560</v>
      </c>
      <c r="AK17" s="249">
        <v>2660</v>
      </c>
      <c r="AL17" s="249">
        <v>770</v>
      </c>
      <c r="AM17" s="249">
        <v>740</v>
      </c>
      <c r="AN17" s="249">
        <v>280</v>
      </c>
      <c r="AO17" s="249">
        <v>1160</v>
      </c>
      <c r="AP17" s="249">
        <v>4980</v>
      </c>
      <c r="AQ17" s="249">
        <v>1390</v>
      </c>
      <c r="AR17" s="249">
        <v>1230</v>
      </c>
      <c r="AS17" s="249">
        <v>740</v>
      </c>
      <c r="AT17" s="249">
        <v>1110</v>
      </c>
      <c r="AU17" s="249">
        <v>4080</v>
      </c>
      <c r="AV17" s="249">
        <v>890</v>
      </c>
      <c r="AW17" s="249">
        <v>730</v>
      </c>
      <c r="AX17" s="249">
        <v>460</v>
      </c>
      <c r="AY17" s="249">
        <v>3220</v>
      </c>
      <c r="AZ17" s="249">
        <v>6140</v>
      </c>
      <c r="BA17" s="249">
        <v>5190</v>
      </c>
      <c r="BB17" s="249">
        <v>40</v>
      </c>
      <c r="BC17" s="249">
        <v>40</v>
      </c>
      <c r="BD17" s="249">
        <v>290</v>
      </c>
      <c r="BE17" s="249">
        <v>90</v>
      </c>
      <c r="BF17" s="249">
        <v>140</v>
      </c>
      <c r="BG17" s="249">
        <v>110</v>
      </c>
      <c r="BH17" s="249">
        <v>30</v>
      </c>
      <c r="BI17" s="249">
        <v>420</v>
      </c>
      <c r="BJ17" s="249">
        <v>250</v>
      </c>
      <c r="BK17" s="252">
        <v>330</v>
      </c>
      <c r="BL17" s="205"/>
      <c r="BM17" s="205"/>
      <c r="BN17" s="205"/>
      <c r="BO17" s="205"/>
    </row>
    <row r="18" spans="1:67" ht="11.25">
      <c r="A18" s="248">
        <f t="shared" si="0"/>
        <v>17</v>
      </c>
      <c r="B18" s="249" t="s">
        <v>608</v>
      </c>
      <c r="C18" s="249" t="s">
        <v>104</v>
      </c>
      <c r="D18" s="249" t="s">
        <v>104</v>
      </c>
      <c r="E18" s="249">
        <v>2008</v>
      </c>
      <c r="F18" s="249" t="s">
        <v>204</v>
      </c>
      <c r="G18" s="250">
        <v>4</v>
      </c>
      <c r="H18" s="250">
        <v>6.5</v>
      </c>
      <c r="I18" s="250">
        <v>6.4</v>
      </c>
      <c r="J18" s="250">
        <v>4</v>
      </c>
      <c r="K18" s="249">
        <v>1.6</v>
      </c>
      <c r="L18" s="249">
        <v>1700</v>
      </c>
      <c r="M18" s="249">
        <v>2007</v>
      </c>
      <c r="N18" s="249">
        <v>2008</v>
      </c>
      <c r="O18" s="249">
        <v>2027</v>
      </c>
      <c r="P18" s="251">
        <v>140</v>
      </c>
      <c r="Q18" s="251">
        <v>80</v>
      </c>
      <c r="R18" s="249">
        <v>0</v>
      </c>
      <c r="S18" s="249">
        <v>250</v>
      </c>
      <c r="T18" s="249">
        <v>1340</v>
      </c>
      <c r="U18" s="249">
        <v>110</v>
      </c>
      <c r="V18" s="249">
        <v>0</v>
      </c>
      <c r="W18" s="249">
        <v>14.7</v>
      </c>
      <c r="X18" s="249">
        <v>78.8</v>
      </c>
      <c r="Y18" s="249">
        <v>6.5</v>
      </c>
      <c r="Z18" s="249">
        <v>1070</v>
      </c>
      <c r="AA18" s="249">
        <v>2340</v>
      </c>
      <c r="AB18" s="249">
        <v>10</v>
      </c>
      <c r="AC18" s="249">
        <v>130</v>
      </c>
      <c r="AD18" s="249">
        <v>880</v>
      </c>
      <c r="AE18" s="249">
        <v>50</v>
      </c>
      <c r="AF18" s="249">
        <v>0</v>
      </c>
      <c r="AG18" s="249">
        <v>340</v>
      </c>
      <c r="AH18" s="249">
        <v>1870</v>
      </c>
      <c r="AI18" s="249">
        <v>130</v>
      </c>
      <c r="AJ18" s="249">
        <v>310</v>
      </c>
      <c r="AK18" s="249">
        <v>520</v>
      </c>
      <c r="AL18" s="249">
        <v>50</v>
      </c>
      <c r="AM18" s="249">
        <v>100</v>
      </c>
      <c r="AN18" s="249">
        <v>30</v>
      </c>
      <c r="AO18" s="249">
        <v>410</v>
      </c>
      <c r="AP18" s="249">
        <v>1370</v>
      </c>
      <c r="AQ18" s="249">
        <v>90</v>
      </c>
      <c r="AR18" s="249">
        <v>270</v>
      </c>
      <c r="AS18" s="249">
        <v>70</v>
      </c>
      <c r="AT18" s="249">
        <v>350</v>
      </c>
      <c r="AU18" s="249">
        <v>940</v>
      </c>
      <c r="AV18" s="249">
        <v>50</v>
      </c>
      <c r="AW18" s="249">
        <v>200</v>
      </c>
      <c r="AX18" s="249">
        <v>50</v>
      </c>
      <c r="AY18" s="249">
        <v>830</v>
      </c>
      <c r="AZ18" s="249">
        <v>1780</v>
      </c>
      <c r="BA18" s="249">
        <v>1290</v>
      </c>
      <c r="BB18" s="249">
        <v>3</v>
      </c>
      <c r="BC18" s="249">
        <v>15</v>
      </c>
      <c r="BD18" s="249">
        <v>70</v>
      </c>
      <c r="BE18" s="249">
        <v>5</v>
      </c>
      <c r="BF18" s="249">
        <v>30</v>
      </c>
      <c r="BG18" s="249">
        <v>13</v>
      </c>
      <c r="BH18" s="249">
        <v>1</v>
      </c>
      <c r="BI18" s="249">
        <v>90</v>
      </c>
      <c r="BJ18" s="249">
        <v>40</v>
      </c>
      <c r="BK18" s="252">
        <v>80</v>
      </c>
      <c r="BL18" s="205"/>
      <c r="BM18" s="205"/>
      <c r="BN18" s="205"/>
      <c r="BO18" s="205"/>
    </row>
    <row r="19" spans="1:67" ht="11.25">
      <c r="A19" s="248">
        <f t="shared" si="0"/>
        <v>18</v>
      </c>
      <c r="B19" s="249" t="s">
        <v>609</v>
      </c>
      <c r="C19" s="249" t="s">
        <v>100</v>
      </c>
      <c r="D19" s="249" t="s">
        <v>100</v>
      </c>
      <c r="E19" s="249">
        <v>2008</v>
      </c>
      <c r="F19" s="249" t="s">
        <v>204</v>
      </c>
      <c r="G19" s="250">
        <v>3.2</v>
      </c>
      <c r="H19" s="250">
        <v>5</v>
      </c>
      <c r="I19" s="250">
        <v>5.8</v>
      </c>
      <c r="J19" s="250">
        <v>3.2</v>
      </c>
      <c r="K19" s="249">
        <v>1.6</v>
      </c>
      <c r="L19" s="249">
        <v>29400</v>
      </c>
      <c r="M19" s="249">
        <v>2007</v>
      </c>
      <c r="N19" s="249">
        <v>2008</v>
      </c>
      <c r="O19" s="249">
        <v>2027</v>
      </c>
      <c r="P19" s="251">
        <v>3200</v>
      </c>
      <c r="Q19" s="251">
        <v>90</v>
      </c>
      <c r="R19" s="249">
        <v>980</v>
      </c>
      <c r="S19" s="249">
        <v>6750</v>
      </c>
      <c r="T19" s="249">
        <v>19160</v>
      </c>
      <c r="U19" s="249">
        <v>2510</v>
      </c>
      <c r="V19" s="249">
        <v>3.3</v>
      </c>
      <c r="W19" s="249">
        <v>23</v>
      </c>
      <c r="X19" s="249">
        <v>65.2</v>
      </c>
      <c r="Y19" s="249">
        <v>8.5</v>
      </c>
      <c r="Z19" s="249">
        <v>19000</v>
      </c>
      <c r="AA19" s="249">
        <v>35800</v>
      </c>
      <c r="AB19" s="249">
        <v>910</v>
      </c>
      <c r="AC19" s="249">
        <v>3480</v>
      </c>
      <c r="AD19" s="249">
        <v>11450</v>
      </c>
      <c r="AE19" s="249">
        <v>3160</v>
      </c>
      <c r="AF19" s="249">
        <v>1320</v>
      </c>
      <c r="AG19" s="249">
        <v>8300</v>
      </c>
      <c r="AH19" s="249">
        <v>23560</v>
      </c>
      <c r="AI19" s="249">
        <v>2620</v>
      </c>
      <c r="AJ19" s="249">
        <v>1870</v>
      </c>
      <c r="AK19" s="249">
        <v>7980</v>
      </c>
      <c r="AL19" s="249">
        <v>1600</v>
      </c>
      <c r="AM19" s="249">
        <v>2030</v>
      </c>
      <c r="AN19" s="249">
        <v>1450</v>
      </c>
      <c r="AO19" s="249">
        <v>3010</v>
      </c>
      <c r="AP19" s="249">
        <v>16800</v>
      </c>
      <c r="AQ19" s="249">
        <v>3750</v>
      </c>
      <c r="AR19" s="249">
        <v>4380</v>
      </c>
      <c r="AS19" s="249">
        <v>3920</v>
      </c>
      <c r="AT19" s="249">
        <v>2960</v>
      </c>
      <c r="AU19" s="249">
        <v>13330</v>
      </c>
      <c r="AV19" s="249">
        <v>2870</v>
      </c>
      <c r="AW19" s="249">
        <v>3350</v>
      </c>
      <c r="AX19" s="249">
        <v>3400</v>
      </c>
      <c r="AY19" s="249">
        <v>9850</v>
      </c>
      <c r="AZ19" s="249">
        <v>19810</v>
      </c>
      <c r="BA19" s="249">
        <v>16290</v>
      </c>
      <c r="BB19" s="249">
        <v>80</v>
      </c>
      <c r="BC19" s="249">
        <v>120</v>
      </c>
      <c r="BD19" s="249">
        <v>970</v>
      </c>
      <c r="BE19" s="249">
        <v>280</v>
      </c>
      <c r="BF19" s="249">
        <v>610</v>
      </c>
      <c r="BG19" s="249">
        <v>860</v>
      </c>
      <c r="BH19" s="249">
        <v>290</v>
      </c>
      <c r="BI19" s="249">
        <v>1370</v>
      </c>
      <c r="BJ19" s="249">
        <v>1470</v>
      </c>
      <c r="BK19" s="252">
        <v>1080</v>
      </c>
      <c r="BL19" s="205"/>
      <c r="BM19" s="205"/>
      <c r="BN19" s="205"/>
      <c r="BO19" s="205"/>
    </row>
    <row r="20" spans="1:67" ht="11.25">
      <c r="A20" s="248">
        <f t="shared" si="0"/>
        <v>19</v>
      </c>
      <c r="B20" s="249" t="s">
        <v>610</v>
      </c>
      <c r="C20" s="249" t="s">
        <v>108</v>
      </c>
      <c r="D20" s="249" t="s">
        <v>483</v>
      </c>
      <c r="E20" s="249">
        <v>2008</v>
      </c>
      <c r="F20" s="249" t="s">
        <v>611</v>
      </c>
      <c r="G20" s="250">
        <v>7.9</v>
      </c>
      <c r="H20" s="250">
        <v>9.8</v>
      </c>
      <c r="I20" s="250">
        <v>7.4</v>
      </c>
      <c r="J20" s="250">
        <v>7.9</v>
      </c>
      <c r="K20" s="249">
        <v>1.2</v>
      </c>
      <c r="L20" s="249">
        <v>1840</v>
      </c>
      <c r="M20" s="249">
        <v>2007</v>
      </c>
      <c r="N20" s="249">
        <v>2008</v>
      </c>
      <c r="O20" s="249">
        <v>2017</v>
      </c>
      <c r="P20" s="251">
        <v>180</v>
      </c>
      <c r="Q20" s="251">
        <v>100</v>
      </c>
      <c r="R20" s="249">
        <v>50</v>
      </c>
      <c r="S20" s="249">
        <v>350</v>
      </c>
      <c r="T20" s="249">
        <v>1310</v>
      </c>
      <c r="U20" s="249">
        <v>130</v>
      </c>
      <c r="V20" s="249">
        <v>2.7</v>
      </c>
      <c r="W20" s="249">
        <v>19</v>
      </c>
      <c r="X20" s="249">
        <v>71.1</v>
      </c>
      <c r="Y20" s="249">
        <v>7.1</v>
      </c>
      <c r="Z20" s="249">
        <v>1330</v>
      </c>
      <c r="AA20" s="249">
        <v>2850</v>
      </c>
      <c r="AB20" s="249">
        <v>90</v>
      </c>
      <c r="AC20" s="249">
        <v>220</v>
      </c>
      <c r="AD20" s="249">
        <v>940</v>
      </c>
      <c r="AE20" s="249">
        <v>80</v>
      </c>
      <c r="AF20" s="249">
        <v>100</v>
      </c>
      <c r="AG20" s="249">
        <v>520</v>
      </c>
      <c r="AH20" s="249">
        <v>2070</v>
      </c>
      <c r="AI20" s="249">
        <v>160</v>
      </c>
      <c r="AJ20" s="249">
        <v>20</v>
      </c>
      <c r="AK20" s="249">
        <v>800</v>
      </c>
      <c r="AL20" s="249">
        <v>120</v>
      </c>
      <c r="AM20" s="249">
        <v>80</v>
      </c>
      <c r="AN20" s="249">
        <v>140</v>
      </c>
      <c r="AO20" s="249">
        <v>170</v>
      </c>
      <c r="AP20" s="249">
        <v>1680</v>
      </c>
      <c r="AQ20" s="249">
        <v>220</v>
      </c>
      <c r="AR20" s="249">
        <v>250</v>
      </c>
      <c r="AS20" s="249">
        <v>270</v>
      </c>
      <c r="AT20" s="249">
        <v>170</v>
      </c>
      <c r="AU20" s="249">
        <v>1000</v>
      </c>
      <c r="AV20" s="249">
        <v>140</v>
      </c>
      <c r="AW20" s="249">
        <v>180</v>
      </c>
      <c r="AX20" s="249">
        <v>170</v>
      </c>
      <c r="AY20" s="249">
        <v>820</v>
      </c>
      <c r="AZ20" s="249">
        <v>1850</v>
      </c>
      <c r="BA20" s="249">
        <v>1170</v>
      </c>
      <c r="BB20" s="249">
        <v>4</v>
      </c>
      <c r="BC20" s="249">
        <v>6</v>
      </c>
      <c r="BD20" s="249">
        <v>70</v>
      </c>
      <c r="BE20" s="249">
        <v>13</v>
      </c>
      <c r="BF20" s="249">
        <v>30</v>
      </c>
      <c r="BG20" s="249">
        <v>40</v>
      </c>
      <c r="BH20" s="249">
        <v>16</v>
      </c>
      <c r="BI20" s="249">
        <v>80</v>
      </c>
      <c r="BJ20" s="249">
        <v>90</v>
      </c>
      <c r="BK20" s="252">
        <v>100</v>
      </c>
      <c r="BL20" s="205"/>
      <c r="BM20" s="205"/>
      <c r="BN20" s="205"/>
      <c r="BO20" s="205"/>
    </row>
    <row r="21" spans="1:67" ht="11.25">
      <c r="A21" s="248">
        <f t="shared" si="0"/>
        <v>20</v>
      </c>
      <c r="B21" s="249" t="s">
        <v>650</v>
      </c>
      <c r="C21" s="249" t="s">
        <v>649</v>
      </c>
      <c r="D21" s="249" t="s">
        <v>483</v>
      </c>
      <c r="E21" s="249">
        <v>2008</v>
      </c>
      <c r="F21" s="249" t="s">
        <v>611</v>
      </c>
      <c r="G21" s="250">
        <v>7.4</v>
      </c>
      <c r="H21" s="250">
        <v>11.7</v>
      </c>
      <c r="I21" s="250">
        <v>9.9</v>
      </c>
      <c r="J21" s="250">
        <v>8.7</v>
      </c>
      <c r="K21" s="249">
        <v>1.6</v>
      </c>
      <c r="L21" s="249">
        <v>640</v>
      </c>
      <c r="M21" s="249">
        <v>2007</v>
      </c>
      <c r="N21" s="249">
        <v>2008</v>
      </c>
      <c r="O21" s="249">
        <v>2017</v>
      </c>
      <c r="P21" s="251">
        <v>70</v>
      </c>
      <c r="Q21" s="251">
        <v>110</v>
      </c>
      <c r="R21" s="249">
        <v>10</v>
      </c>
      <c r="S21" s="249">
        <v>150</v>
      </c>
      <c r="T21" s="249">
        <v>440</v>
      </c>
      <c r="U21" s="249">
        <v>40</v>
      </c>
      <c r="V21" s="249">
        <v>1.6</v>
      </c>
      <c r="W21" s="249">
        <v>23.4</v>
      </c>
      <c r="X21" s="249">
        <v>68.8</v>
      </c>
      <c r="Y21" s="249">
        <v>6.3</v>
      </c>
      <c r="Z21" s="249">
        <v>430</v>
      </c>
      <c r="AA21" s="249">
        <v>990</v>
      </c>
      <c r="AB21" s="249">
        <v>20</v>
      </c>
      <c r="AC21" s="249">
        <v>90</v>
      </c>
      <c r="AD21" s="249">
        <v>300</v>
      </c>
      <c r="AE21" s="249">
        <v>20</v>
      </c>
      <c r="AF21" s="249">
        <v>20</v>
      </c>
      <c r="AG21" s="249">
        <v>200</v>
      </c>
      <c r="AH21" s="249">
        <v>710</v>
      </c>
      <c r="AI21" s="249">
        <v>60</v>
      </c>
      <c r="AJ21" s="249">
        <v>30</v>
      </c>
      <c r="AK21" s="249">
        <v>240</v>
      </c>
      <c r="AL21" s="249">
        <v>30</v>
      </c>
      <c r="AM21" s="249">
        <v>60</v>
      </c>
      <c r="AN21" s="249">
        <v>30</v>
      </c>
      <c r="AO21" s="249">
        <v>40</v>
      </c>
      <c r="AP21" s="249">
        <v>510</v>
      </c>
      <c r="AQ21" s="249">
        <v>160</v>
      </c>
      <c r="AR21" s="249">
        <v>130</v>
      </c>
      <c r="AS21" s="249">
        <v>70</v>
      </c>
      <c r="AT21" s="249">
        <v>30</v>
      </c>
      <c r="AU21" s="249">
        <v>280</v>
      </c>
      <c r="AV21" s="249">
        <v>130</v>
      </c>
      <c r="AW21" s="249">
        <v>100</v>
      </c>
      <c r="AX21" s="249">
        <v>50</v>
      </c>
      <c r="AY21" s="249">
        <v>270</v>
      </c>
      <c r="AZ21" s="249">
        <v>550</v>
      </c>
      <c r="BA21" s="249">
        <v>310</v>
      </c>
      <c r="BB21" s="249">
        <v>1</v>
      </c>
      <c r="BC21" s="249">
        <v>1</v>
      </c>
      <c r="BD21" s="249">
        <v>20</v>
      </c>
      <c r="BE21" s="249">
        <v>12</v>
      </c>
      <c r="BF21" s="249">
        <v>18</v>
      </c>
      <c r="BG21" s="249">
        <v>12</v>
      </c>
      <c r="BH21" s="249">
        <v>3</v>
      </c>
      <c r="BI21" s="249">
        <v>20</v>
      </c>
      <c r="BJ21" s="249">
        <v>30</v>
      </c>
      <c r="BK21" s="252">
        <v>20</v>
      </c>
      <c r="BL21" s="205"/>
      <c r="BM21" s="205"/>
      <c r="BN21" s="205"/>
      <c r="BO21" s="205"/>
    </row>
    <row r="22" spans="1:67" ht="11.25">
      <c r="A22" s="248">
        <f t="shared" si="0"/>
        <v>21</v>
      </c>
      <c r="B22" s="249" t="s">
        <v>612</v>
      </c>
      <c r="C22" s="249" t="s">
        <v>111</v>
      </c>
      <c r="D22" s="249" t="s">
        <v>483</v>
      </c>
      <c r="E22" s="249">
        <v>2008</v>
      </c>
      <c r="F22" s="249" t="s">
        <v>611</v>
      </c>
      <c r="G22" s="250">
        <v>4.8</v>
      </c>
      <c r="H22" s="250">
        <v>8.3</v>
      </c>
      <c r="I22" s="250">
        <v>6.5</v>
      </c>
      <c r="J22" s="250">
        <v>7.1</v>
      </c>
      <c r="K22" s="249">
        <v>1.7</v>
      </c>
      <c r="L22" s="249">
        <v>1130</v>
      </c>
      <c r="M22" s="249">
        <v>2007</v>
      </c>
      <c r="N22" s="249">
        <v>2008</v>
      </c>
      <c r="O22" s="249">
        <v>2017</v>
      </c>
      <c r="P22" s="251">
        <v>160</v>
      </c>
      <c r="Q22" s="251">
        <v>140</v>
      </c>
      <c r="R22" s="249">
        <v>100</v>
      </c>
      <c r="S22" s="249">
        <v>350</v>
      </c>
      <c r="T22" s="249">
        <v>650</v>
      </c>
      <c r="U22" s="249">
        <v>30</v>
      </c>
      <c r="V22" s="249">
        <v>8.8</v>
      </c>
      <c r="W22" s="249">
        <v>30.9</v>
      </c>
      <c r="X22" s="249">
        <v>57.5</v>
      </c>
      <c r="Y22" s="249">
        <v>2.7</v>
      </c>
      <c r="Z22" s="249">
        <v>940</v>
      </c>
      <c r="AA22" s="249">
        <v>1870</v>
      </c>
      <c r="AB22" s="249">
        <v>140</v>
      </c>
      <c r="AC22" s="249">
        <v>280</v>
      </c>
      <c r="AD22" s="249">
        <v>500</v>
      </c>
      <c r="AE22" s="249">
        <v>20</v>
      </c>
      <c r="AF22" s="249">
        <v>190</v>
      </c>
      <c r="AG22" s="249">
        <v>580</v>
      </c>
      <c r="AH22" s="249">
        <v>1070</v>
      </c>
      <c r="AI22" s="249">
        <v>30</v>
      </c>
      <c r="AJ22" s="249">
        <v>90</v>
      </c>
      <c r="AK22" s="249">
        <v>380</v>
      </c>
      <c r="AL22" s="249">
        <v>30</v>
      </c>
      <c r="AM22" s="249">
        <v>60</v>
      </c>
      <c r="AN22" s="249">
        <v>220</v>
      </c>
      <c r="AO22" s="249">
        <v>90</v>
      </c>
      <c r="AP22" s="249">
        <v>740</v>
      </c>
      <c r="AQ22" s="249">
        <v>240</v>
      </c>
      <c r="AR22" s="249">
        <v>150</v>
      </c>
      <c r="AS22" s="249">
        <v>430</v>
      </c>
      <c r="AT22" s="249">
        <v>70</v>
      </c>
      <c r="AU22" s="249">
        <v>390</v>
      </c>
      <c r="AV22" s="249">
        <v>190</v>
      </c>
      <c r="AW22" s="249">
        <v>100</v>
      </c>
      <c r="AX22" s="249">
        <v>250</v>
      </c>
      <c r="AY22" s="249">
        <v>470</v>
      </c>
      <c r="AZ22" s="249">
        <v>830</v>
      </c>
      <c r="BA22" s="249">
        <v>460</v>
      </c>
      <c r="BB22" s="249">
        <v>1</v>
      </c>
      <c r="BC22" s="249">
        <v>3</v>
      </c>
      <c r="BD22" s="249">
        <v>30</v>
      </c>
      <c r="BE22" s="249">
        <v>16</v>
      </c>
      <c r="BF22" s="249">
        <v>19</v>
      </c>
      <c r="BG22" s="249">
        <v>60</v>
      </c>
      <c r="BH22" s="249">
        <v>30</v>
      </c>
      <c r="BI22" s="249">
        <v>30</v>
      </c>
      <c r="BJ22" s="249">
        <v>50</v>
      </c>
      <c r="BK22" s="252">
        <v>60</v>
      </c>
      <c r="BL22" s="205"/>
      <c r="BM22" s="205"/>
      <c r="BN22" s="205"/>
      <c r="BO22" s="205"/>
    </row>
    <row r="23" spans="1:67" ht="11.25">
      <c r="A23" s="248">
        <f t="shared" si="0"/>
        <v>22</v>
      </c>
      <c r="B23" s="249" t="s">
        <v>613</v>
      </c>
      <c r="C23" s="249" t="s">
        <v>110</v>
      </c>
      <c r="D23" s="249" t="s">
        <v>483</v>
      </c>
      <c r="E23" s="249">
        <v>2008</v>
      </c>
      <c r="F23" s="249" t="s">
        <v>611</v>
      </c>
      <c r="G23" s="250">
        <v>1.7</v>
      </c>
      <c r="H23" s="250">
        <v>6.1</v>
      </c>
      <c r="I23" s="250">
        <v>7.4</v>
      </c>
      <c r="J23" s="250">
        <v>5.8</v>
      </c>
      <c r="K23" s="249">
        <v>3.6</v>
      </c>
      <c r="L23" s="249">
        <v>750</v>
      </c>
      <c r="M23" s="249">
        <v>2007</v>
      </c>
      <c r="N23" s="249">
        <v>2008</v>
      </c>
      <c r="O23" s="249">
        <v>2017</v>
      </c>
      <c r="P23" s="251">
        <v>110</v>
      </c>
      <c r="Q23" s="251">
        <v>150</v>
      </c>
      <c r="R23" s="249">
        <v>50</v>
      </c>
      <c r="S23" s="249">
        <v>360</v>
      </c>
      <c r="T23" s="249">
        <v>280</v>
      </c>
      <c r="U23" s="249">
        <v>60</v>
      </c>
      <c r="V23" s="249">
        <v>6.7</v>
      </c>
      <c r="W23" s="249">
        <v>48</v>
      </c>
      <c r="X23" s="249">
        <v>37.3</v>
      </c>
      <c r="Y23" s="249">
        <v>8</v>
      </c>
      <c r="Z23" s="249">
        <v>680</v>
      </c>
      <c r="AA23" s="249">
        <v>1190</v>
      </c>
      <c r="AB23" s="249">
        <v>140</v>
      </c>
      <c r="AC23" s="249">
        <v>290</v>
      </c>
      <c r="AD23" s="249">
        <v>230</v>
      </c>
      <c r="AE23" s="249">
        <v>20</v>
      </c>
      <c r="AF23" s="249">
        <v>130</v>
      </c>
      <c r="AG23" s="249">
        <v>550</v>
      </c>
      <c r="AH23" s="249">
        <v>440</v>
      </c>
      <c r="AI23" s="249">
        <v>70</v>
      </c>
      <c r="AJ23" s="249">
        <v>30</v>
      </c>
      <c r="AK23" s="249">
        <v>170</v>
      </c>
      <c r="AL23" s="249">
        <v>30</v>
      </c>
      <c r="AM23" s="249">
        <v>160</v>
      </c>
      <c r="AN23" s="249">
        <v>130</v>
      </c>
      <c r="AO23" s="249">
        <v>20</v>
      </c>
      <c r="AP23" s="249">
        <v>370</v>
      </c>
      <c r="AQ23" s="249">
        <v>50</v>
      </c>
      <c r="AR23" s="249">
        <v>270</v>
      </c>
      <c r="AS23" s="249">
        <v>280</v>
      </c>
      <c r="AT23" s="249">
        <v>10</v>
      </c>
      <c r="AU23" s="249">
        <v>250</v>
      </c>
      <c r="AV23" s="249">
        <v>20</v>
      </c>
      <c r="AW23" s="249">
        <v>210</v>
      </c>
      <c r="AX23" s="249">
        <v>150</v>
      </c>
      <c r="AY23" s="249">
        <v>200</v>
      </c>
      <c r="AZ23" s="249">
        <v>390</v>
      </c>
      <c r="BA23" s="249">
        <v>260</v>
      </c>
      <c r="BB23" s="249">
        <v>2</v>
      </c>
      <c r="BC23" s="249">
        <v>0</v>
      </c>
      <c r="BD23" s="249">
        <v>18</v>
      </c>
      <c r="BE23" s="249">
        <v>2</v>
      </c>
      <c r="BF23" s="249">
        <v>40</v>
      </c>
      <c r="BG23" s="249">
        <v>40</v>
      </c>
      <c r="BH23" s="249">
        <v>14</v>
      </c>
      <c r="BI23" s="249">
        <v>18</v>
      </c>
      <c r="BJ23" s="249">
        <v>20</v>
      </c>
      <c r="BK23" s="252">
        <v>30</v>
      </c>
      <c r="BL23" s="205"/>
      <c r="BM23" s="205"/>
      <c r="BN23" s="205"/>
      <c r="BO23" s="205"/>
    </row>
    <row r="24" spans="1:67" ht="11.25">
      <c r="A24" s="248">
        <f t="shared" si="0"/>
        <v>23</v>
      </c>
      <c r="B24" s="249" t="s">
        <v>614</v>
      </c>
      <c r="C24" s="249" t="s">
        <v>109</v>
      </c>
      <c r="D24" s="249" t="s">
        <v>483</v>
      </c>
      <c r="E24" s="249">
        <v>2008</v>
      </c>
      <c r="F24" s="249" t="s">
        <v>611</v>
      </c>
      <c r="G24" s="250">
        <v>3.1</v>
      </c>
      <c r="H24" s="250">
        <v>5.8</v>
      </c>
      <c r="I24" s="250">
        <v>8.1</v>
      </c>
      <c r="J24" s="250">
        <v>4.9</v>
      </c>
      <c r="K24" s="249">
        <v>1.9</v>
      </c>
      <c r="L24" s="249">
        <v>330</v>
      </c>
      <c r="M24" s="249">
        <v>2007</v>
      </c>
      <c r="N24" s="249">
        <v>2008</v>
      </c>
      <c r="O24" s="249">
        <v>2017</v>
      </c>
      <c r="P24" s="251">
        <v>40</v>
      </c>
      <c r="Q24" s="251">
        <v>120</v>
      </c>
      <c r="R24" s="249">
        <v>20</v>
      </c>
      <c r="S24" s="249">
        <v>120</v>
      </c>
      <c r="T24" s="249">
        <v>180</v>
      </c>
      <c r="U24" s="249">
        <v>10</v>
      </c>
      <c r="V24" s="249">
        <v>6.1</v>
      </c>
      <c r="W24" s="249">
        <v>36.4</v>
      </c>
      <c r="X24" s="249">
        <v>54.6</v>
      </c>
      <c r="Y24" s="249">
        <v>3</v>
      </c>
      <c r="Z24" s="249">
        <v>360</v>
      </c>
      <c r="AA24" s="249">
        <v>580</v>
      </c>
      <c r="AB24" s="249">
        <v>40</v>
      </c>
      <c r="AC24" s="249">
        <v>70</v>
      </c>
      <c r="AD24" s="249">
        <v>230</v>
      </c>
      <c r="AE24" s="249">
        <v>20</v>
      </c>
      <c r="AF24" s="249">
        <v>30</v>
      </c>
      <c r="AG24" s="249">
        <v>160</v>
      </c>
      <c r="AH24" s="249">
        <v>380</v>
      </c>
      <c r="AI24" s="249">
        <v>10</v>
      </c>
      <c r="AJ24" s="249">
        <v>40</v>
      </c>
      <c r="AK24" s="249">
        <v>190</v>
      </c>
      <c r="AL24" s="249">
        <v>0</v>
      </c>
      <c r="AM24" s="249">
        <v>50</v>
      </c>
      <c r="AN24" s="249">
        <v>20</v>
      </c>
      <c r="AO24" s="249">
        <v>40</v>
      </c>
      <c r="AP24" s="249">
        <v>340</v>
      </c>
      <c r="AQ24" s="249">
        <v>0</v>
      </c>
      <c r="AR24" s="249">
        <v>100</v>
      </c>
      <c r="AS24" s="249">
        <v>60</v>
      </c>
      <c r="AT24" s="249">
        <v>20</v>
      </c>
      <c r="AU24" s="249">
        <v>160</v>
      </c>
      <c r="AV24" s="249">
        <v>0</v>
      </c>
      <c r="AW24" s="249">
        <v>90</v>
      </c>
      <c r="AX24" s="249">
        <v>30</v>
      </c>
      <c r="AY24" s="249">
        <v>230</v>
      </c>
      <c r="AZ24" s="249">
        <v>380</v>
      </c>
      <c r="BA24" s="249">
        <v>180</v>
      </c>
      <c r="BB24" s="249">
        <v>0</v>
      </c>
      <c r="BC24" s="249">
        <v>1</v>
      </c>
      <c r="BD24" s="249">
        <v>12</v>
      </c>
      <c r="BE24" s="249">
        <v>0</v>
      </c>
      <c r="BF24" s="249">
        <v>17</v>
      </c>
      <c r="BG24" s="249">
        <v>9</v>
      </c>
      <c r="BH24" s="249">
        <v>6</v>
      </c>
      <c r="BI24" s="249">
        <v>12</v>
      </c>
      <c r="BJ24" s="249">
        <v>13</v>
      </c>
      <c r="BK24" s="252">
        <v>18</v>
      </c>
      <c r="BL24" s="205"/>
      <c r="BM24" s="205"/>
      <c r="BN24" s="205"/>
      <c r="BO24" s="205"/>
    </row>
    <row r="25" spans="1:67" ht="11.25">
      <c r="A25" s="248">
        <f t="shared" si="0"/>
        <v>24</v>
      </c>
      <c r="B25" s="249" t="s">
        <v>615</v>
      </c>
      <c r="C25" s="249" t="s">
        <v>209</v>
      </c>
      <c r="D25" s="249" t="s">
        <v>101</v>
      </c>
      <c r="E25" s="249">
        <v>2008</v>
      </c>
      <c r="F25" s="249" t="s">
        <v>611</v>
      </c>
      <c r="G25" s="250">
        <v>2.4</v>
      </c>
      <c r="H25" s="250">
        <v>3.2</v>
      </c>
      <c r="I25" s="250">
        <v>5.2</v>
      </c>
      <c r="J25" s="250">
        <v>2</v>
      </c>
      <c r="K25" s="249">
        <v>1.3</v>
      </c>
      <c r="L25" s="249">
        <v>3040</v>
      </c>
      <c r="M25" s="249">
        <v>2007</v>
      </c>
      <c r="N25" s="249">
        <v>2008</v>
      </c>
      <c r="O25" s="249">
        <v>2017</v>
      </c>
      <c r="P25" s="251">
        <v>250</v>
      </c>
      <c r="Q25" s="251">
        <v>80</v>
      </c>
      <c r="R25" s="249">
        <v>40</v>
      </c>
      <c r="S25" s="249">
        <v>450</v>
      </c>
      <c r="T25" s="249">
        <v>2020</v>
      </c>
      <c r="U25" s="249">
        <v>530</v>
      </c>
      <c r="V25" s="249">
        <v>1.3</v>
      </c>
      <c r="W25" s="249">
        <v>14.8</v>
      </c>
      <c r="X25" s="249">
        <v>66.4</v>
      </c>
      <c r="Y25" s="249">
        <v>17.4</v>
      </c>
      <c r="Z25" s="249">
        <v>6570</v>
      </c>
      <c r="AA25" s="249">
        <v>8010</v>
      </c>
      <c r="AB25" s="249">
        <v>160</v>
      </c>
      <c r="AC25" s="249">
        <v>940</v>
      </c>
      <c r="AD25" s="249">
        <v>3700</v>
      </c>
      <c r="AE25" s="249">
        <v>1770</v>
      </c>
      <c r="AF25" s="249">
        <v>140</v>
      </c>
      <c r="AG25" s="249">
        <v>1410</v>
      </c>
      <c r="AH25" s="249">
        <v>4790</v>
      </c>
      <c r="AI25" s="249">
        <v>1660</v>
      </c>
      <c r="AJ25" s="249">
        <v>490</v>
      </c>
      <c r="AK25" s="249">
        <v>2470</v>
      </c>
      <c r="AL25" s="249">
        <v>740</v>
      </c>
      <c r="AM25" s="249">
        <v>680</v>
      </c>
      <c r="AN25" s="249">
        <v>260</v>
      </c>
      <c r="AO25" s="249">
        <v>510</v>
      </c>
      <c r="AP25" s="249">
        <v>3370</v>
      </c>
      <c r="AQ25" s="249">
        <v>920</v>
      </c>
      <c r="AR25" s="249">
        <v>970</v>
      </c>
      <c r="AS25" s="249">
        <v>440</v>
      </c>
      <c r="AT25" s="249">
        <v>320</v>
      </c>
      <c r="AU25" s="249">
        <v>1520</v>
      </c>
      <c r="AV25" s="249">
        <v>180</v>
      </c>
      <c r="AW25" s="249">
        <v>330</v>
      </c>
      <c r="AX25" s="249">
        <v>120</v>
      </c>
      <c r="AY25" s="249">
        <v>2960</v>
      </c>
      <c r="AZ25" s="249">
        <v>3880</v>
      </c>
      <c r="BA25" s="249">
        <v>1840</v>
      </c>
      <c r="BB25" s="249">
        <v>18</v>
      </c>
      <c r="BC25" s="249">
        <v>12</v>
      </c>
      <c r="BD25" s="249">
        <v>110</v>
      </c>
      <c r="BE25" s="249">
        <v>16</v>
      </c>
      <c r="BF25" s="249">
        <v>60</v>
      </c>
      <c r="BG25" s="249">
        <v>30</v>
      </c>
      <c r="BH25" s="249">
        <v>8</v>
      </c>
      <c r="BI25" s="249">
        <v>120</v>
      </c>
      <c r="BJ25" s="249">
        <v>140</v>
      </c>
      <c r="BK25" s="252">
        <v>130</v>
      </c>
      <c r="BL25" s="205"/>
      <c r="BM25" s="205"/>
      <c r="BN25" s="205"/>
      <c r="BO25" s="205"/>
    </row>
    <row r="26" spans="1:67" ht="11.25">
      <c r="A26" s="248">
        <f t="shared" si="0"/>
        <v>25</v>
      </c>
      <c r="B26" s="249" t="s">
        <v>616</v>
      </c>
      <c r="C26" s="249" t="s">
        <v>210</v>
      </c>
      <c r="D26" s="249" t="s">
        <v>101</v>
      </c>
      <c r="E26" s="249">
        <v>2008</v>
      </c>
      <c r="F26" s="249" t="s">
        <v>611</v>
      </c>
      <c r="G26" s="250">
        <v>2.5</v>
      </c>
      <c r="H26" s="250">
        <v>5.2</v>
      </c>
      <c r="I26" s="250">
        <v>4.2</v>
      </c>
      <c r="J26" s="250">
        <v>3</v>
      </c>
      <c r="K26" s="249">
        <v>2.1</v>
      </c>
      <c r="L26" s="249">
        <v>250</v>
      </c>
      <c r="M26" s="249">
        <v>2007</v>
      </c>
      <c r="N26" s="249">
        <v>2008</v>
      </c>
      <c r="O26" s="249">
        <v>2017</v>
      </c>
      <c r="P26" s="251">
        <v>30</v>
      </c>
      <c r="Q26" s="251">
        <v>110</v>
      </c>
      <c r="R26" s="249">
        <v>0</v>
      </c>
      <c r="S26" s="249">
        <v>90</v>
      </c>
      <c r="T26" s="249">
        <v>130</v>
      </c>
      <c r="U26" s="249">
        <v>30</v>
      </c>
      <c r="V26" s="249">
        <v>0</v>
      </c>
      <c r="W26" s="249">
        <v>36</v>
      </c>
      <c r="X26" s="249">
        <v>52</v>
      </c>
      <c r="Y26" s="249">
        <v>12</v>
      </c>
      <c r="Z26" s="249">
        <v>460</v>
      </c>
      <c r="AA26" s="249">
        <v>620</v>
      </c>
      <c r="AB26" s="249">
        <v>0</v>
      </c>
      <c r="AC26" s="249">
        <v>90</v>
      </c>
      <c r="AD26" s="249">
        <v>280</v>
      </c>
      <c r="AE26" s="249">
        <v>90</v>
      </c>
      <c r="AF26" s="249">
        <v>0</v>
      </c>
      <c r="AG26" s="249">
        <v>150</v>
      </c>
      <c r="AH26" s="249">
        <v>380</v>
      </c>
      <c r="AI26" s="249">
        <v>90</v>
      </c>
      <c r="AJ26" s="249">
        <v>70</v>
      </c>
      <c r="AK26" s="249">
        <v>190</v>
      </c>
      <c r="AL26" s="249">
        <v>20</v>
      </c>
      <c r="AM26" s="249">
        <v>60</v>
      </c>
      <c r="AN26" s="249">
        <v>30</v>
      </c>
      <c r="AO26" s="249">
        <v>90</v>
      </c>
      <c r="AP26" s="249">
        <v>270</v>
      </c>
      <c r="AQ26" s="249">
        <v>20</v>
      </c>
      <c r="AR26" s="249">
        <v>100</v>
      </c>
      <c r="AS26" s="249">
        <v>50</v>
      </c>
      <c r="AT26" s="249">
        <v>20</v>
      </c>
      <c r="AU26" s="249">
        <v>110</v>
      </c>
      <c r="AV26" s="249">
        <v>0</v>
      </c>
      <c r="AW26" s="249">
        <v>60</v>
      </c>
      <c r="AX26" s="249">
        <v>30</v>
      </c>
      <c r="AY26" s="249">
        <v>260</v>
      </c>
      <c r="AZ26" s="249">
        <v>360</v>
      </c>
      <c r="BA26" s="249">
        <v>130</v>
      </c>
      <c r="BB26" s="249">
        <v>1</v>
      </c>
      <c r="BC26" s="249">
        <v>1</v>
      </c>
      <c r="BD26" s="249">
        <v>7</v>
      </c>
      <c r="BE26" s="249">
        <v>0</v>
      </c>
      <c r="BF26" s="249">
        <v>10</v>
      </c>
      <c r="BG26" s="249">
        <v>9</v>
      </c>
      <c r="BH26" s="249">
        <v>0</v>
      </c>
      <c r="BI26" s="249">
        <v>8</v>
      </c>
      <c r="BJ26" s="249">
        <v>8</v>
      </c>
      <c r="BK26" s="252">
        <v>8</v>
      </c>
      <c r="BL26" s="205"/>
      <c r="BM26" s="205"/>
      <c r="BN26" s="205"/>
      <c r="BO26" s="205"/>
    </row>
    <row r="27" spans="1:67" ht="11.25">
      <c r="A27" s="248">
        <f t="shared" si="0"/>
        <v>26</v>
      </c>
      <c r="B27" s="249" t="s">
        <v>617</v>
      </c>
      <c r="C27" s="249" t="s">
        <v>102</v>
      </c>
      <c r="D27" s="249" t="s">
        <v>102</v>
      </c>
      <c r="E27" s="249">
        <v>2008</v>
      </c>
      <c r="F27" s="249" t="s">
        <v>611</v>
      </c>
      <c r="G27" s="250">
        <v>2.2</v>
      </c>
      <c r="H27" s="250">
        <v>5.3</v>
      </c>
      <c r="I27" s="250">
        <v>4.8</v>
      </c>
      <c r="J27" s="250">
        <v>3.6</v>
      </c>
      <c r="K27" s="249">
        <v>2.4</v>
      </c>
      <c r="L27" s="249">
        <v>3200</v>
      </c>
      <c r="M27" s="249">
        <v>2007</v>
      </c>
      <c r="N27" s="249">
        <v>2008</v>
      </c>
      <c r="O27" s="249">
        <v>2017</v>
      </c>
      <c r="P27" s="251">
        <v>310</v>
      </c>
      <c r="Q27" s="251">
        <v>100</v>
      </c>
      <c r="R27" s="249">
        <v>120</v>
      </c>
      <c r="S27" s="249">
        <v>570</v>
      </c>
      <c r="T27" s="249">
        <v>2300</v>
      </c>
      <c r="U27" s="249">
        <v>210</v>
      </c>
      <c r="V27" s="249">
        <v>3.8</v>
      </c>
      <c r="W27" s="249">
        <v>17.8</v>
      </c>
      <c r="X27" s="249">
        <v>71.9</v>
      </c>
      <c r="Y27" s="249">
        <v>6.6</v>
      </c>
      <c r="Z27" s="249">
        <v>4400</v>
      </c>
      <c r="AA27" s="249">
        <v>6250</v>
      </c>
      <c r="AB27" s="249">
        <v>190</v>
      </c>
      <c r="AC27" s="249">
        <v>670</v>
      </c>
      <c r="AD27" s="249">
        <v>2970</v>
      </c>
      <c r="AE27" s="249">
        <v>570</v>
      </c>
      <c r="AF27" s="249">
        <v>230</v>
      </c>
      <c r="AG27" s="249">
        <v>1150</v>
      </c>
      <c r="AH27" s="249">
        <v>4400</v>
      </c>
      <c r="AI27" s="249">
        <v>470</v>
      </c>
      <c r="AJ27" s="249">
        <v>410</v>
      </c>
      <c r="AK27" s="249">
        <v>2150</v>
      </c>
      <c r="AL27" s="249">
        <v>410</v>
      </c>
      <c r="AM27" s="249">
        <v>310</v>
      </c>
      <c r="AN27" s="249">
        <v>360</v>
      </c>
      <c r="AO27" s="249">
        <v>590</v>
      </c>
      <c r="AP27" s="249">
        <v>3240</v>
      </c>
      <c r="AQ27" s="249">
        <v>570</v>
      </c>
      <c r="AR27" s="249">
        <v>600</v>
      </c>
      <c r="AS27" s="249">
        <v>550</v>
      </c>
      <c r="AT27" s="249">
        <v>470</v>
      </c>
      <c r="AU27" s="249">
        <v>1630</v>
      </c>
      <c r="AV27" s="249">
        <v>200</v>
      </c>
      <c r="AW27" s="249">
        <v>310</v>
      </c>
      <c r="AX27" s="249">
        <v>260</v>
      </c>
      <c r="AY27" s="249">
        <v>2560</v>
      </c>
      <c r="AZ27" s="249">
        <v>3830</v>
      </c>
      <c r="BA27" s="249">
        <v>2100</v>
      </c>
      <c r="BB27" s="249">
        <v>7</v>
      </c>
      <c r="BC27" s="249">
        <v>17</v>
      </c>
      <c r="BD27" s="249">
        <v>120</v>
      </c>
      <c r="BE27" s="249">
        <v>17</v>
      </c>
      <c r="BF27" s="249">
        <v>50</v>
      </c>
      <c r="BG27" s="249">
        <v>60</v>
      </c>
      <c r="BH27" s="249">
        <v>40</v>
      </c>
      <c r="BI27" s="249">
        <v>130</v>
      </c>
      <c r="BJ27" s="249">
        <v>150</v>
      </c>
      <c r="BK27" s="252">
        <v>170</v>
      </c>
      <c r="BL27" s="205"/>
      <c r="BM27" s="205"/>
      <c r="BN27" s="205"/>
      <c r="BO27" s="205"/>
    </row>
    <row r="28" spans="1:67" ht="11.25">
      <c r="A28" s="248">
        <f t="shared" si="0"/>
        <v>27</v>
      </c>
      <c r="B28" s="249" t="s">
        <v>618</v>
      </c>
      <c r="C28" s="249" t="s">
        <v>163</v>
      </c>
      <c r="D28" s="249" t="s">
        <v>104</v>
      </c>
      <c r="E28" s="249">
        <v>2008</v>
      </c>
      <c r="F28" s="249" t="s">
        <v>611</v>
      </c>
      <c r="G28" s="250">
        <v>4.4</v>
      </c>
      <c r="H28" s="250">
        <v>8.8</v>
      </c>
      <c r="I28" s="250">
        <v>6.8</v>
      </c>
      <c r="J28" s="250">
        <v>4</v>
      </c>
      <c r="K28" s="249">
        <v>2</v>
      </c>
      <c r="L28" s="249">
        <v>550</v>
      </c>
      <c r="M28" s="249">
        <v>2007</v>
      </c>
      <c r="N28" s="249">
        <v>2008</v>
      </c>
      <c r="O28" s="249">
        <v>2017</v>
      </c>
      <c r="P28" s="251">
        <v>50</v>
      </c>
      <c r="Q28" s="251">
        <v>90</v>
      </c>
      <c r="R28" s="249">
        <v>0</v>
      </c>
      <c r="S28" s="249">
        <v>110</v>
      </c>
      <c r="T28" s="249">
        <v>410</v>
      </c>
      <c r="U28" s="249">
        <v>30</v>
      </c>
      <c r="V28" s="249">
        <v>0</v>
      </c>
      <c r="W28" s="249">
        <v>20</v>
      </c>
      <c r="X28" s="249">
        <v>74.6</v>
      </c>
      <c r="Y28" s="249">
        <v>5.5</v>
      </c>
      <c r="Z28" s="249">
        <v>610</v>
      </c>
      <c r="AA28" s="249">
        <v>900</v>
      </c>
      <c r="AB28" s="249">
        <v>10</v>
      </c>
      <c r="AC28" s="249">
        <v>100</v>
      </c>
      <c r="AD28" s="249">
        <v>500</v>
      </c>
      <c r="AE28" s="249">
        <v>0</v>
      </c>
      <c r="AF28" s="249">
        <v>0</v>
      </c>
      <c r="AG28" s="249">
        <v>170</v>
      </c>
      <c r="AH28" s="249">
        <v>700</v>
      </c>
      <c r="AI28" s="249">
        <v>30</v>
      </c>
      <c r="AJ28" s="249">
        <v>180</v>
      </c>
      <c r="AK28" s="249">
        <v>290</v>
      </c>
      <c r="AL28" s="249">
        <v>30</v>
      </c>
      <c r="AM28" s="249">
        <v>80</v>
      </c>
      <c r="AN28" s="249">
        <v>20</v>
      </c>
      <c r="AO28" s="249">
        <v>140</v>
      </c>
      <c r="AP28" s="249">
        <v>520</v>
      </c>
      <c r="AQ28" s="249">
        <v>40</v>
      </c>
      <c r="AR28" s="249">
        <v>140</v>
      </c>
      <c r="AS28" s="249">
        <v>30</v>
      </c>
      <c r="AT28" s="249">
        <v>90</v>
      </c>
      <c r="AU28" s="249">
        <v>310</v>
      </c>
      <c r="AV28" s="249">
        <v>10</v>
      </c>
      <c r="AW28" s="249">
        <v>80</v>
      </c>
      <c r="AX28" s="249">
        <v>30</v>
      </c>
      <c r="AY28" s="249">
        <v>470</v>
      </c>
      <c r="AZ28" s="249">
        <v>660</v>
      </c>
      <c r="BA28" s="249">
        <v>400</v>
      </c>
      <c r="BB28" s="249">
        <v>1</v>
      </c>
      <c r="BC28" s="249">
        <v>4</v>
      </c>
      <c r="BD28" s="249">
        <v>20</v>
      </c>
      <c r="BE28" s="249">
        <v>1</v>
      </c>
      <c r="BF28" s="249">
        <v>14</v>
      </c>
      <c r="BG28" s="249">
        <v>6</v>
      </c>
      <c r="BH28" s="249">
        <v>0</v>
      </c>
      <c r="BI28" s="249">
        <v>30</v>
      </c>
      <c r="BJ28" s="249">
        <v>30</v>
      </c>
      <c r="BK28" s="252">
        <v>30</v>
      </c>
      <c r="BL28" s="205"/>
      <c r="BM28" s="205"/>
      <c r="BN28" s="205"/>
      <c r="BO28" s="205"/>
    </row>
    <row r="29" spans="1:67" ht="11.25">
      <c r="A29" s="248">
        <f t="shared" si="0"/>
        <v>28</v>
      </c>
      <c r="B29" s="249" t="s">
        <v>619</v>
      </c>
      <c r="C29" s="249" t="s">
        <v>153</v>
      </c>
      <c r="D29" s="249" t="s">
        <v>104</v>
      </c>
      <c r="E29" s="249">
        <v>2008</v>
      </c>
      <c r="F29" s="249" t="s">
        <v>611</v>
      </c>
      <c r="G29" s="250">
        <v>3.9</v>
      </c>
      <c r="H29" s="250">
        <v>5.4</v>
      </c>
      <c r="I29" s="250">
        <v>7.2</v>
      </c>
      <c r="J29" s="250">
        <v>3.4</v>
      </c>
      <c r="K29" s="249">
        <v>1.4</v>
      </c>
      <c r="L29" s="249">
        <v>300</v>
      </c>
      <c r="M29" s="249">
        <v>2007</v>
      </c>
      <c r="N29" s="249">
        <v>2008</v>
      </c>
      <c r="O29" s="249">
        <v>2017</v>
      </c>
      <c r="P29" s="251">
        <v>20</v>
      </c>
      <c r="Q29" s="251">
        <v>60</v>
      </c>
      <c r="R29" s="249">
        <v>0</v>
      </c>
      <c r="S29" s="249">
        <v>20</v>
      </c>
      <c r="T29" s="249">
        <v>250</v>
      </c>
      <c r="U29" s="249">
        <v>30</v>
      </c>
      <c r="V29" s="249">
        <v>0</v>
      </c>
      <c r="W29" s="249">
        <v>6.6</v>
      </c>
      <c r="X29" s="249">
        <v>83.3</v>
      </c>
      <c r="Y29" s="249">
        <v>10</v>
      </c>
      <c r="Z29" s="249">
        <v>460</v>
      </c>
      <c r="AA29" s="249">
        <v>640</v>
      </c>
      <c r="AB29" s="249">
        <v>0</v>
      </c>
      <c r="AC29" s="249">
        <v>30</v>
      </c>
      <c r="AD29" s="249">
        <v>380</v>
      </c>
      <c r="AE29" s="249">
        <v>50</v>
      </c>
      <c r="AF29" s="249">
        <v>0</v>
      </c>
      <c r="AG29" s="249">
        <v>40</v>
      </c>
      <c r="AH29" s="249">
        <v>520</v>
      </c>
      <c r="AI29" s="249">
        <v>80</v>
      </c>
      <c r="AJ29" s="249">
        <v>130</v>
      </c>
      <c r="AK29" s="249">
        <v>230</v>
      </c>
      <c r="AL29" s="249">
        <v>20</v>
      </c>
      <c r="AM29" s="249">
        <v>20</v>
      </c>
      <c r="AN29" s="249">
        <v>10</v>
      </c>
      <c r="AO29" s="249">
        <v>130</v>
      </c>
      <c r="AP29" s="249">
        <v>370</v>
      </c>
      <c r="AQ29" s="249">
        <v>20</v>
      </c>
      <c r="AR29" s="249">
        <v>30</v>
      </c>
      <c r="AS29" s="249">
        <v>10</v>
      </c>
      <c r="AT29" s="249">
        <v>70</v>
      </c>
      <c r="AU29" s="249">
        <v>170</v>
      </c>
      <c r="AV29" s="249">
        <v>10</v>
      </c>
      <c r="AW29" s="249">
        <v>10</v>
      </c>
      <c r="AX29" s="249">
        <v>10</v>
      </c>
      <c r="AY29" s="249">
        <v>360</v>
      </c>
      <c r="AZ29" s="249">
        <v>500</v>
      </c>
      <c r="BA29" s="249">
        <v>240</v>
      </c>
      <c r="BB29" s="249">
        <v>1</v>
      </c>
      <c r="BC29" s="249">
        <v>3</v>
      </c>
      <c r="BD29" s="249">
        <v>12</v>
      </c>
      <c r="BE29" s="249">
        <v>1</v>
      </c>
      <c r="BF29" s="249">
        <v>1</v>
      </c>
      <c r="BG29" s="249">
        <v>1</v>
      </c>
      <c r="BH29" s="249">
        <v>0</v>
      </c>
      <c r="BI29" s="249">
        <v>15</v>
      </c>
      <c r="BJ29" s="249">
        <v>16</v>
      </c>
      <c r="BK29" s="252">
        <v>15</v>
      </c>
      <c r="BL29" s="205"/>
      <c r="BM29" s="205"/>
      <c r="BN29" s="205"/>
      <c r="BO29" s="205"/>
    </row>
    <row r="30" spans="1:67" ht="11.25">
      <c r="A30" s="248">
        <f t="shared" si="0"/>
        <v>29</v>
      </c>
      <c r="B30" s="249" t="s">
        <v>620</v>
      </c>
      <c r="C30" s="249" t="s">
        <v>103</v>
      </c>
      <c r="D30" s="249" t="s">
        <v>211</v>
      </c>
      <c r="E30" s="249">
        <v>2008</v>
      </c>
      <c r="F30" s="249" t="s">
        <v>611</v>
      </c>
      <c r="G30" s="250">
        <v>4.6</v>
      </c>
      <c r="H30" s="250">
        <v>7.5</v>
      </c>
      <c r="I30" s="250">
        <v>7.2</v>
      </c>
      <c r="J30" s="250">
        <v>4</v>
      </c>
      <c r="K30" s="249">
        <v>1.6</v>
      </c>
      <c r="L30" s="249">
        <v>770</v>
      </c>
      <c r="M30" s="249">
        <v>2007</v>
      </c>
      <c r="N30" s="249">
        <v>2008</v>
      </c>
      <c r="O30" s="249">
        <v>2017</v>
      </c>
      <c r="P30" s="251">
        <v>130</v>
      </c>
      <c r="Q30" s="251">
        <v>170</v>
      </c>
      <c r="R30" s="249">
        <v>100</v>
      </c>
      <c r="S30" s="249">
        <v>340</v>
      </c>
      <c r="T30" s="249">
        <v>290</v>
      </c>
      <c r="U30" s="249">
        <v>40</v>
      </c>
      <c r="V30" s="249">
        <v>13</v>
      </c>
      <c r="W30" s="249">
        <v>44.2</v>
      </c>
      <c r="X30" s="249">
        <v>37.7</v>
      </c>
      <c r="Y30" s="249">
        <v>5.2</v>
      </c>
      <c r="Z30" s="249">
        <v>760</v>
      </c>
      <c r="AA30" s="249">
        <v>1130</v>
      </c>
      <c r="AB30" s="249">
        <v>50</v>
      </c>
      <c r="AC30" s="249">
        <v>340</v>
      </c>
      <c r="AD30" s="249">
        <v>340</v>
      </c>
      <c r="AE30" s="249">
        <v>30</v>
      </c>
      <c r="AF30" s="249">
        <v>120</v>
      </c>
      <c r="AG30" s="249">
        <v>450</v>
      </c>
      <c r="AH30" s="249">
        <v>500</v>
      </c>
      <c r="AI30" s="249">
        <v>60</v>
      </c>
      <c r="AJ30" s="249">
        <v>70</v>
      </c>
      <c r="AK30" s="249">
        <v>230</v>
      </c>
      <c r="AL30" s="249">
        <v>40</v>
      </c>
      <c r="AM30" s="249">
        <v>180</v>
      </c>
      <c r="AN30" s="249">
        <v>160</v>
      </c>
      <c r="AO30" s="249">
        <v>60</v>
      </c>
      <c r="AP30" s="249">
        <v>370</v>
      </c>
      <c r="AQ30" s="249">
        <v>70</v>
      </c>
      <c r="AR30" s="249">
        <v>210</v>
      </c>
      <c r="AS30" s="249">
        <v>240</v>
      </c>
      <c r="AT30" s="249">
        <v>40</v>
      </c>
      <c r="AU30" s="249">
        <v>220</v>
      </c>
      <c r="AV30" s="249">
        <v>30</v>
      </c>
      <c r="AW30" s="249">
        <v>150</v>
      </c>
      <c r="AX30" s="249">
        <v>190</v>
      </c>
      <c r="AY30" s="249">
        <v>300</v>
      </c>
      <c r="AZ30" s="249">
        <v>430</v>
      </c>
      <c r="BA30" s="249">
        <v>260</v>
      </c>
      <c r="BB30" s="249">
        <v>1</v>
      </c>
      <c r="BC30" s="249">
        <v>1</v>
      </c>
      <c r="BD30" s="249">
        <v>15</v>
      </c>
      <c r="BE30" s="249">
        <v>3</v>
      </c>
      <c r="BF30" s="249">
        <v>30</v>
      </c>
      <c r="BG30" s="249">
        <v>50</v>
      </c>
      <c r="BH30" s="249">
        <v>30</v>
      </c>
      <c r="BI30" s="249">
        <v>17</v>
      </c>
      <c r="BJ30" s="249">
        <v>19</v>
      </c>
      <c r="BK30" s="252">
        <v>50</v>
      </c>
      <c r="BL30" s="205"/>
      <c r="BM30" s="205"/>
      <c r="BN30" s="205"/>
      <c r="BO30" s="205"/>
    </row>
    <row r="31" spans="1:67" ht="11.25">
      <c r="A31" s="248">
        <f t="shared" si="0"/>
        <v>30</v>
      </c>
      <c r="B31" s="249" t="s">
        <v>74</v>
      </c>
      <c r="C31" s="249" t="s">
        <v>57</v>
      </c>
      <c r="D31" s="249" t="s">
        <v>106</v>
      </c>
      <c r="E31" s="249">
        <v>2008</v>
      </c>
      <c r="F31" s="249" t="s">
        <v>611</v>
      </c>
      <c r="G31" s="250">
        <v>5.2</v>
      </c>
      <c r="H31" s="250">
        <v>6.8</v>
      </c>
      <c r="I31" s="250">
        <v>5.9</v>
      </c>
      <c r="J31" s="250">
        <v>-0.5</v>
      </c>
      <c r="K31" s="249">
        <v>1.3</v>
      </c>
      <c r="L31" s="249">
        <v>600</v>
      </c>
      <c r="M31" s="249">
        <v>2007</v>
      </c>
      <c r="N31" s="249">
        <v>2008</v>
      </c>
      <c r="O31" s="249">
        <v>2017</v>
      </c>
      <c r="P31" s="251">
        <v>40</v>
      </c>
      <c r="Q31" s="251">
        <v>70</v>
      </c>
      <c r="R31" s="249">
        <v>30</v>
      </c>
      <c r="S31" s="249">
        <v>80</v>
      </c>
      <c r="T31" s="249">
        <v>260</v>
      </c>
      <c r="U31" s="249">
        <v>230</v>
      </c>
      <c r="V31" s="249">
        <v>5</v>
      </c>
      <c r="W31" s="249">
        <v>13.4</v>
      </c>
      <c r="X31" s="249">
        <v>43.3</v>
      </c>
      <c r="Y31" s="249">
        <v>38.3</v>
      </c>
      <c r="Z31" s="249">
        <v>1360</v>
      </c>
      <c r="AA31" s="249">
        <v>1300</v>
      </c>
      <c r="AB31" s="249">
        <v>50</v>
      </c>
      <c r="AC31" s="249">
        <v>230</v>
      </c>
      <c r="AD31" s="249">
        <v>670</v>
      </c>
      <c r="AE31" s="249">
        <v>410</v>
      </c>
      <c r="AF31" s="249">
        <v>50</v>
      </c>
      <c r="AG31" s="249">
        <v>230</v>
      </c>
      <c r="AH31" s="249">
        <v>750</v>
      </c>
      <c r="AI31" s="249">
        <v>270</v>
      </c>
      <c r="AJ31" s="249">
        <v>170</v>
      </c>
      <c r="AK31" s="249">
        <v>430</v>
      </c>
      <c r="AL31" s="249">
        <v>70</v>
      </c>
      <c r="AM31" s="249">
        <v>190</v>
      </c>
      <c r="AN31" s="249">
        <v>40</v>
      </c>
      <c r="AO31" s="249">
        <v>70</v>
      </c>
      <c r="AP31" s="249">
        <v>550</v>
      </c>
      <c r="AQ31" s="249">
        <v>130</v>
      </c>
      <c r="AR31" s="249">
        <v>210</v>
      </c>
      <c r="AS31" s="249">
        <v>20</v>
      </c>
      <c r="AT31" s="249">
        <v>10</v>
      </c>
      <c r="AU31" s="249">
        <v>200</v>
      </c>
      <c r="AV31" s="249">
        <v>50</v>
      </c>
      <c r="AW31" s="249">
        <v>70</v>
      </c>
      <c r="AX31" s="249">
        <v>10</v>
      </c>
      <c r="AY31" s="249">
        <v>600</v>
      </c>
      <c r="AZ31" s="249">
        <v>620</v>
      </c>
      <c r="BA31" s="249">
        <v>210</v>
      </c>
      <c r="BB31" s="249">
        <v>7</v>
      </c>
      <c r="BC31" s="249">
        <v>0</v>
      </c>
      <c r="BD31" s="249">
        <v>13</v>
      </c>
      <c r="BE31" s="249">
        <v>4</v>
      </c>
      <c r="BF31" s="249">
        <v>10</v>
      </c>
      <c r="BG31" s="249">
        <v>2</v>
      </c>
      <c r="BH31" s="249">
        <v>3</v>
      </c>
      <c r="BI31" s="249">
        <v>13</v>
      </c>
      <c r="BJ31" s="249">
        <v>17</v>
      </c>
      <c r="BK31" s="252">
        <v>16</v>
      </c>
      <c r="BL31" s="205"/>
      <c r="BM31" s="205"/>
      <c r="BN31" s="205"/>
      <c r="BO31" s="205"/>
    </row>
    <row r="32" spans="1:67" ht="11.25">
      <c r="A32" s="248">
        <f t="shared" si="0"/>
        <v>31</v>
      </c>
      <c r="B32" s="249" t="s">
        <v>621</v>
      </c>
      <c r="C32" s="249" t="s">
        <v>105</v>
      </c>
      <c r="D32" s="249" t="s">
        <v>211</v>
      </c>
      <c r="E32" s="249">
        <v>2008</v>
      </c>
      <c r="F32" s="249" t="s">
        <v>611</v>
      </c>
      <c r="G32" s="250">
        <v>5.5</v>
      </c>
      <c r="H32" s="250">
        <v>6.9</v>
      </c>
      <c r="I32" s="250">
        <v>5.7</v>
      </c>
      <c r="J32" s="250">
        <v>1.6</v>
      </c>
      <c r="K32" s="249">
        <v>1.3</v>
      </c>
      <c r="L32" s="249">
        <v>240</v>
      </c>
      <c r="M32" s="249">
        <v>2007</v>
      </c>
      <c r="N32" s="249">
        <v>2008</v>
      </c>
      <c r="O32" s="249">
        <v>2017</v>
      </c>
      <c r="P32" s="251">
        <v>30</v>
      </c>
      <c r="Q32" s="251">
        <v>130</v>
      </c>
      <c r="R32" s="249">
        <v>0</v>
      </c>
      <c r="S32" s="249">
        <v>90</v>
      </c>
      <c r="T32" s="249">
        <v>110</v>
      </c>
      <c r="U32" s="249">
        <v>40</v>
      </c>
      <c r="V32" s="249">
        <v>0</v>
      </c>
      <c r="W32" s="249">
        <v>37.5</v>
      </c>
      <c r="X32" s="249">
        <v>45.8</v>
      </c>
      <c r="Y32" s="249">
        <v>16.7</v>
      </c>
      <c r="Z32" s="249">
        <v>640</v>
      </c>
      <c r="AA32" s="249">
        <v>750</v>
      </c>
      <c r="AB32" s="249">
        <v>20</v>
      </c>
      <c r="AC32" s="249">
        <v>140</v>
      </c>
      <c r="AD32" s="249">
        <v>400</v>
      </c>
      <c r="AE32" s="249">
        <v>80</v>
      </c>
      <c r="AF32" s="249">
        <v>10</v>
      </c>
      <c r="AG32" s="249">
        <v>220</v>
      </c>
      <c r="AH32" s="249">
        <v>440</v>
      </c>
      <c r="AI32" s="249">
        <v>80</v>
      </c>
      <c r="AJ32" s="249">
        <v>140</v>
      </c>
      <c r="AK32" s="249">
        <v>210</v>
      </c>
      <c r="AL32" s="249">
        <v>50</v>
      </c>
      <c r="AM32" s="249">
        <v>100</v>
      </c>
      <c r="AN32" s="249">
        <v>40</v>
      </c>
      <c r="AO32" s="249">
        <v>80</v>
      </c>
      <c r="AP32" s="249">
        <v>330</v>
      </c>
      <c r="AQ32" s="249">
        <v>30</v>
      </c>
      <c r="AR32" s="249">
        <v>140</v>
      </c>
      <c r="AS32" s="249">
        <v>80</v>
      </c>
      <c r="AT32" s="249">
        <v>0</v>
      </c>
      <c r="AU32" s="249">
        <v>110</v>
      </c>
      <c r="AV32" s="249">
        <v>0</v>
      </c>
      <c r="AW32" s="249">
        <v>70</v>
      </c>
      <c r="AX32" s="249">
        <v>20</v>
      </c>
      <c r="AY32" s="249">
        <v>350</v>
      </c>
      <c r="AZ32" s="249">
        <v>410</v>
      </c>
      <c r="BA32" s="249">
        <v>110</v>
      </c>
      <c r="BB32" s="249">
        <v>1</v>
      </c>
      <c r="BC32" s="249">
        <v>0</v>
      </c>
      <c r="BD32" s="249">
        <v>8</v>
      </c>
      <c r="BE32" s="249">
        <v>0</v>
      </c>
      <c r="BF32" s="249">
        <v>11</v>
      </c>
      <c r="BG32" s="249">
        <v>5</v>
      </c>
      <c r="BH32" s="249">
        <v>0</v>
      </c>
      <c r="BI32" s="249">
        <v>8</v>
      </c>
      <c r="BJ32" s="249">
        <v>8</v>
      </c>
      <c r="BK32" s="252">
        <v>8</v>
      </c>
      <c r="BL32" s="205"/>
      <c r="BM32" s="205"/>
      <c r="BN32" s="205"/>
      <c r="BO32" s="205"/>
    </row>
    <row r="33" spans="1:67" ht="11.25">
      <c r="A33" s="248">
        <f t="shared" si="0"/>
        <v>32</v>
      </c>
      <c r="B33" s="249" t="s">
        <v>646</v>
      </c>
      <c r="C33" s="249" t="s">
        <v>483</v>
      </c>
      <c r="D33" s="249" t="s">
        <v>483</v>
      </c>
      <c r="E33" s="249">
        <v>2008</v>
      </c>
      <c r="F33" s="249" t="s">
        <v>611</v>
      </c>
      <c r="G33" s="250">
        <v>4.4</v>
      </c>
      <c r="H33" s="250">
        <v>8.4</v>
      </c>
      <c r="I33" s="250">
        <v>7.2</v>
      </c>
      <c r="J33" s="250">
        <v>7.2</v>
      </c>
      <c r="K33" s="249">
        <v>1.9</v>
      </c>
      <c r="L33" s="249">
        <v>4690</v>
      </c>
      <c r="M33" s="249">
        <v>2007</v>
      </c>
      <c r="N33" s="249">
        <v>2008</v>
      </c>
      <c r="O33" s="249">
        <v>2017</v>
      </c>
      <c r="P33" s="251">
        <v>560</v>
      </c>
      <c r="Q33" s="251">
        <v>120</v>
      </c>
      <c r="R33" s="249">
        <v>230</v>
      </c>
      <c r="S33" s="249">
        <v>1330</v>
      </c>
      <c r="T33" s="249">
        <v>2860</v>
      </c>
      <c r="U33" s="249">
        <v>270</v>
      </c>
      <c r="V33" s="249">
        <v>4.9</v>
      </c>
      <c r="W33" s="249">
        <v>28.4</v>
      </c>
      <c r="X33" s="249">
        <v>60.9</v>
      </c>
      <c r="Y33" s="249">
        <v>5.8</v>
      </c>
      <c r="Z33" s="249">
        <v>3740</v>
      </c>
      <c r="AA33" s="249">
        <v>7480</v>
      </c>
      <c r="AB33" s="249">
        <v>430</v>
      </c>
      <c r="AC33" s="249">
        <v>950</v>
      </c>
      <c r="AD33" s="249">
        <v>2200</v>
      </c>
      <c r="AE33" s="249">
        <v>160</v>
      </c>
      <c r="AF33" s="249">
        <v>470</v>
      </c>
      <c r="AG33" s="249">
        <v>2010</v>
      </c>
      <c r="AH33" s="249">
        <v>4670</v>
      </c>
      <c r="AI33" s="249">
        <v>330</v>
      </c>
      <c r="AJ33" s="249">
        <v>210</v>
      </c>
      <c r="AK33" s="249">
        <v>1780</v>
      </c>
      <c r="AL33" s="249">
        <v>210</v>
      </c>
      <c r="AM33" s="249">
        <v>410</v>
      </c>
      <c r="AN33" s="249">
        <v>540</v>
      </c>
      <c r="AO33" s="249">
        <v>360</v>
      </c>
      <c r="AP33" s="249">
        <v>3640</v>
      </c>
      <c r="AQ33" s="249">
        <v>670</v>
      </c>
      <c r="AR33" s="249">
        <v>900</v>
      </c>
      <c r="AS33" s="249">
        <v>1110</v>
      </c>
      <c r="AT33" s="249">
        <v>300</v>
      </c>
      <c r="AU33" s="249">
        <v>2080</v>
      </c>
      <c r="AV33" s="249">
        <v>480</v>
      </c>
      <c r="AW33" s="249">
        <v>680</v>
      </c>
      <c r="AX33" s="249">
        <v>650</v>
      </c>
      <c r="AY33" s="249">
        <v>1990</v>
      </c>
      <c r="AZ33" s="249">
        <v>4000</v>
      </c>
      <c r="BA33" s="249">
        <v>2380</v>
      </c>
      <c r="BB33" s="249">
        <v>8</v>
      </c>
      <c r="BC33" s="249">
        <v>11</v>
      </c>
      <c r="BD33" s="249">
        <v>150</v>
      </c>
      <c r="BE33" s="249">
        <v>40</v>
      </c>
      <c r="BF33" s="249">
        <v>120</v>
      </c>
      <c r="BG33" s="249">
        <v>160</v>
      </c>
      <c r="BH33" s="249">
        <v>70</v>
      </c>
      <c r="BI33" s="249">
        <v>160</v>
      </c>
      <c r="BJ33" s="249">
        <v>200</v>
      </c>
      <c r="BK33" s="252">
        <v>230</v>
      </c>
      <c r="BL33" s="205"/>
      <c r="BM33" s="205"/>
      <c r="BN33" s="205"/>
      <c r="BO33" s="205"/>
    </row>
    <row r="34" spans="1:67" ht="11.25">
      <c r="A34" s="248">
        <f t="shared" si="0"/>
        <v>33</v>
      </c>
      <c r="B34" s="249" t="s">
        <v>622</v>
      </c>
      <c r="C34" s="249" t="s">
        <v>101</v>
      </c>
      <c r="D34" s="249" t="s">
        <v>101</v>
      </c>
      <c r="E34" s="249">
        <v>2008</v>
      </c>
      <c r="F34" s="249" t="s">
        <v>611</v>
      </c>
      <c r="G34" s="250">
        <v>2.5</v>
      </c>
      <c r="H34" s="250">
        <v>3.4</v>
      </c>
      <c r="I34" s="250">
        <v>5.2</v>
      </c>
      <c r="J34" s="250">
        <v>2.1</v>
      </c>
      <c r="K34" s="249">
        <v>1.4</v>
      </c>
      <c r="L34" s="249">
        <v>3290</v>
      </c>
      <c r="M34" s="249">
        <v>2007</v>
      </c>
      <c r="N34" s="249">
        <v>2008</v>
      </c>
      <c r="O34" s="249">
        <v>2017</v>
      </c>
      <c r="P34" s="251">
        <v>280</v>
      </c>
      <c r="Q34" s="251">
        <v>90</v>
      </c>
      <c r="R34" s="249">
        <v>40</v>
      </c>
      <c r="S34" s="249">
        <v>540</v>
      </c>
      <c r="T34" s="249">
        <v>2150</v>
      </c>
      <c r="U34" s="249">
        <v>560</v>
      </c>
      <c r="V34" s="249">
        <v>1.2</v>
      </c>
      <c r="W34" s="249">
        <v>16.5</v>
      </c>
      <c r="X34" s="249">
        <v>65.3</v>
      </c>
      <c r="Y34" s="249">
        <v>17</v>
      </c>
      <c r="Z34" s="249">
        <v>7030</v>
      </c>
      <c r="AA34" s="249">
        <v>8630</v>
      </c>
      <c r="AB34" s="249">
        <v>160</v>
      </c>
      <c r="AC34" s="249">
        <v>1020</v>
      </c>
      <c r="AD34" s="249">
        <v>3990</v>
      </c>
      <c r="AE34" s="249">
        <v>1860</v>
      </c>
      <c r="AF34" s="249">
        <v>140</v>
      </c>
      <c r="AG34" s="249">
        <v>1570</v>
      </c>
      <c r="AH34" s="249">
        <v>5170</v>
      </c>
      <c r="AI34" s="249">
        <v>1750</v>
      </c>
      <c r="AJ34" s="249">
        <v>560</v>
      </c>
      <c r="AK34" s="249">
        <v>2660</v>
      </c>
      <c r="AL34" s="249">
        <v>770</v>
      </c>
      <c r="AM34" s="249">
        <v>740</v>
      </c>
      <c r="AN34" s="249">
        <v>280</v>
      </c>
      <c r="AO34" s="249">
        <v>600</v>
      </c>
      <c r="AP34" s="249">
        <v>3630</v>
      </c>
      <c r="AQ34" s="249">
        <v>940</v>
      </c>
      <c r="AR34" s="249">
        <v>1070</v>
      </c>
      <c r="AS34" s="249">
        <v>500</v>
      </c>
      <c r="AT34" s="249">
        <v>350</v>
      </c>
      <c r="AU34" s="249">
        <v>1630</v>
      </c>
      <c r="AV34" s="249">
        <v>170</v>
      </c>
      <c r="AW34" s="249">
        <v>390</v>
      </c>
      <c r="AX34" s="249">
        <v>150</v>
      </c>
      <c r="AY34" s="249">
        <v>3220</v>
      </c>
      <c r="AZ34" s="249">
        <v>4230</v>
      </c>
      <c r="BA34" s="249">
        <v>1980</v>
      </c>
      <c r="BB34" s="249">
        <v>19</v>
      </c>
      <c r="BC34" s="249">
        <v>13</v>
      </c>
      <c r="BD34" s="249">
        <v>110</v>
      </c>
      <c r="BE34" s="249">
        <v>16</v>
      </c>
      <c r="BF34" s="249">
        <v>70</v>
      </c>
      <c r="BG34" s="249">
        <v>40</v>
      </c>
      <c r="BH34" s="249">
        <v>8</v>
      </c>
      <c r="BI34" s="249">
        <v>120</v>
      </c>
      <c r="BJ34" s="249">
        <v>140</v>
      </c>
      <c r="BK34" s="252">
        <v>130</v>
      </c>
      <c r="BL34" s="205"/>
      <c r="BM34" s="205"/>
      <c r="BN34" s="205"/>
      <c r="BO34" s="205"/>
    </row>
    <row r="35" spans="1:67" ht="11.25">
      <c r="A35" s="248">
        <f t="shared" si="0"/>
        <v>34</v>
      </c>
      <c r="B35" s="249" t="s">
        <v>623</v>
      </c>
      <c r="C35" s="249" t="s">
        <v>104</v>
      </c>
      <c r="D35" s="249" t="s">
        <v>104</v>
      </c>
      <c r="E35" s="249">
        <v>2008</v>
      </c>
      <c r="F35" s="249" t="s">
        <v>611</v>
      </c>
      <c r="G35" s="250">
        <v>4.1</v>
      </c>
      <c r="H35" s="250">
        <v>7.6</v>
      </c>
      <c r="I35" s="250">
        <v>6.9</v>
      </c>
      <c r="J35" s="250">
        <v>3.7</v>
      </c>
      <c r="K35" s="249">
        <v>1.9</v>
      </c>
      <c r="L35" s="249">
        <v>850</v>
      </c>
      <c r="M35" s="249">
        <v>2007</v>
      </c>
      <c r="N35" s="249">
        <v>2008</v>
      </c>
      <c r="O35" s="249">
        <v>2017</v>
      </c>
      <c r="P35" s="251">
        <v>70</v>
      </c>
      <c r="Q35" s="251">
        <v>80</v>
      </c>
      <c r="R35" s="249">
        <v>0</v>
      </c>
      <c r="S35" s="249">
        <v>130</v>
      </c>
      <c r="T35" s="249">
        <v>660</v>
      </c>
      <c r="U35" s="249">
        <v>60</v>
      </c>
      <c r="V35" s="249">
        <v>0</v>
      </c>
      <c r="W35" s="249">
        <v>15.3</v>
      </c>
      <c r="X35" s="249">
        <v>77.7</v>
      </c>
      <c r="Y35" s="249">
        <v>7.1</v>
      </c>
      <c r="Z35" s="249">
        <v>1070</v>
      </c>
      <c r="AA35" s="249">
        <v>1540</v>
      </c>
      <c r="AB35" s="249">
        <v>10</v>
      </c>
      <c r="AC35" s="249">
        <v>130</v>
      </c>
      <c r="AD35" s="249">
        <v>880</v>
      </c>
      <c r="AE35" s="249">
        <v>50</v>
      </c>
      <c r="AF35" s="249">
        <v>0</v>
      </c>
      <c r="AG35" s="249">
        <v>210</v>
      </c>
      <c r="AH35" s="249">
        <v>1220</v>
      </c>
      <c r="AI35" s="249">
        <v>110</v>
      </c>
      <c r="AJ35" s="249">
        <v>310</v>
      </c>
      <c r="AK35" s="249">
        <v>520</v>
      </c>
      <c r="AL35" s="249">
        <v>50</v>
      </c>
      <c r="AM35" s="249">
        <v>100</v>
      </c>
      <c r="AN35" s="249">
        <v>30</v>
      </c>
      <c r="AO35" s="249">
        <v>270</v>
      </c>
      <c r="AP35" s="249">
        <v>890</v>
      </c>
      <c r="AQ35" s="249">
        <v>60</v>
      </c>
      <c r="AR35" s="249">
        <v>170</v>
      </c>
      <c r="AS35" s="249">
        <v>40</v>
      </c>
      <c r="AT35" s="249">
        <v>160</v>
      </c>
      <c r="AU35" s="249">
        <v>480</v>
      </c>
      <c r="AV35" s="249">
        <v>20</v>
      </c>
      <c r="AW35" s="249">
        <v>90</v>
      </c>
      <c r="AX35" s="249">
        <v>40</v>
      </c>
      <c r="AY35" s="249">
        <v>830</v>
      </c>
      <c r="AZ35" s="249">
        <v>1160</v>
      </c>
      <c r="BA35" s="249">
        <v>640</v>
      </c>
      <c r="BB35" s="249">
        <v>1</v>
      </c>
      <c r="BC35" s="249">
        <v>6</v>
      </c>
      <c r="BD35" s="249">
        <v>30</v>
      </c>
      <c r="BE35" s="249">
        <v>2</v>
      </c>
      <c r="BF35" s="249">
        <v>15</v>
      </c>
      <c r="BG35" s="249">
        <v>7</v>
      </c>
      <c r="BH35" s="249">
        <v>0</v>
      </c>
      <c r="BI35" s="249">
        <v>40</v>
      </c>
      <c r="BJ35" s="249">
        <v>40</v>
      </c>
      <c r="BK35" s="252">
        <v>40</v>
      </c>
      <c r="BL35" s="205"/>
      <c r="BM35" s="205"/>
      <c r="BN35" s="205"/>
      <c r="BO35" s="205"/>
    </row>
    <row r="36" spans="1:67" ht="11.25">
      <c r="A36" s="248">
        <f t="shared" si="0"/>
        <v>35</v>
      </c>
      <c r="B36" s="249" t="s">
        <v>624</v>
      </c>
      <c r="C36" s="249" t="s">
        <v>100</v>
      </c>
      <c r="D36" s="249" t="s">
        <v>100</v>
      </c>
      <c r="E36" s="249">
        <v>2008</v>
      </c>
      <c r="F36" s="249" t="s">
        <v>611</v>
      </c>
      <c r="G36" s="250">
        <v>3.3</v>
      </c>
      <c r="H36" s="250">
        <v>5.9</v>
      </c>
      <c r="I36" s="250">
        <v>6</v>
      </c>
      <c r="J36" s="250">
        <v>3.6</v>
      </c>
      <c r="K36" s="249">
        <v>1.8</v>
      </c>
      <c r="L36" s="249">
        <v>13640</v>
      </c>
      <c r="M36" s="249">
        <v>2007</v>
      </c>
      <c r="N36" s="249">
        <v>2008</v>
      </c>
      <c r="O36" s="249">
        <v>2017</v>
      </c>
      <c r="P36" s="251">
        <v>1420</v>
      </c>
      <c r="Q36" s="251">
        <v>90</v>
      </c>
      <c r="R36" s="249">
        <v>520</v>
      </c>
      <c r="S36" s="249">
        <v>3080</v>
      </c>
      <c r="T36" s="249">
        <v>8630</v>
      </c>
      <c r="U36" s="249">
        <v>1410</v>
      </c>
      <c r="V36" s="249">
        <v>3.8</v>
      </c>
      <c r="W36" s="249">
        <v>22.6</v>
      </c>
      <c r="X36" s="249">
        <v>63.4</v>
      </c>
      <c r="Y36" s="249">
        <v>10.3</v>
      </c>
      <c r="Z36" s="249">
        <v>19000</v>
      </c>
      <c r="AA36" s="249">
        <v>27080</v>
      </c>
      <c r="AB36" s="249">
        <v>910</v>
      </c>
      <c r="AC36" s="249">
        <v>3480</v>
      </c>
      <c r="AD36" s="249">
        <v>11450</v>
      </c>
      <c r="AE36" s="249">
        <v>3160</v>
      </c>
      <c r="AF36" s="249">
        <v>1020</v>
      </c>
      <c r="AG36" s="249">
        <v>5840</v>
      </c>
      <c r="AH36" s="249">
        <v>17150</v>
      </c>
      <c r="AI36" s="249">
        <v>3070</v>
      </c>
      <c r="AJ36" s="249">
        <v>1870</v>
      </c>
      <c r="AK36" s="249">
        <v>7980</v>
      </c>
      <c r="AL36" s="249">
        <v>1600</v>
      </c>
      <c r="AM36" s="249">
        <v>2030</v>
      </c>
      <c r="AN36" s="249">
        <v>1450</v>
      </c>
      <c r="AO36" s="249">
        <v>2030</v>
      </c>
      <c r="AP36" s="249">
        <v>12650</v>
      </c>
      <c r="AQ36" s="249">
        <v>2470</v>
      </c>
      <c r="AR36" s="249">
        <v>3300</v>
      </c>
      <c r="AS36" s="249">
        <v>2540</v>
      </c>
      <c r="AT36" s="249">
        <v>1330</v>
      </c>
      <c r="AU36" s="249">
        <v>6350</v>
      </c>
      <c r="AV36" s="249">
        <v>950</v>
      </c>
      <c r="AW36" s="249">
        <v>1760</v>
      </c>
      <c r="AX36" s="249">
        <v>1320</v>
      </c>
      <c r="AY36" s="249">
        <v>9850</v>
      </c>
      <c r="AZ36" s="249">
        <v>14680</v>
      </c>
      <c r="BA36" s="249">
        <v>7680</v>
      </c>
      <c r="BB36" s="249">
        <v>50</v>
      </c>
      <c r="BC36" s="249">
        <v>50</v>
      </c>
      <c r="BD36" s="249">
        <v>450</v>
      </c>
      <c r="BE36" s="249">
        <v>80</v>
      </c>
      <c r="BF36" s="249">
        <v>310</v>
      </c>
      <c r="BG36" s="249">
        <v>330</v>
      </c>
      <c r="BH36" s="249">
        <v>150</v>
      </c>
      <c r="BI36" s="249">
        <v>500</v>
      </c>
      <c r="BJ36" s="249">
        <v>580</v>
      </c>
      <c r="BK36" s="252">
        <v>650</v>
      </c>
      <c r="BL36" s="205"/>
      <c r="BM36" s="205"/>
      <c r="BN36" s="205"/>
      <c r="BO36" s="205"/>
    </row>
    <row r="37" spans="1:67" ht="11.25">
      <c r="A37" s="248">
        <f t="shared" si="0"/>
        <v>36</v>
      </c>
      <c r="B37" s="249" t="s">
        <v>589</v>
      </c>
      <c r="C37" s="249" t="s">
        <v>108</v>
      </c>
      <c r="D37" s="249" t="s">
        <v>483</v>
      </c>
      <c r="E37" s="249">
        <v>2009</v>
      </c>
      <c r="F37" s="249" t="s">
        <v>204</v>
      </c>
      <c r="G37" s="250">
        <v>7.2</v>
      </c>
      <c r="H37" s="250">
        <v>7.8</v>
      </c>
      <c r="I37" s="250">
        <v>6.6</v>
      </c>
      <c r="J37" s="250">
        <v>6</v>
      </c>
      <c r="K37" s="249">
        <v>1.1</v>
      </c>
      <c r="L37" s="249">
        <v>3770</v>
      </c>
      <c r="M37" s="249">
        <v>2008</v>
      </c>
      <c r="N37" s="249">
        <v>2009</v>
      </c>
      <c r="O37" s="249">
        <v>2028</v>
      </c>
      <c r="P37" s="251">
        <v>400</v>
      </c>
      <c r="Q37" s="251">
        <v>110</v>
      </c>
      <c r="R37" s="249">
        <v>70</v>
      </c>
      <c r="S37" s="249">
        <v>780</v>
      </c>
      <c r="T37" s="249">
        <v>2670</v>
      </c>
      <c r="U37" s="249">
        <v>250</v>
      </c>
      <c r="V37" s="249">
        <v>1.9</v>
      </c>
      <c r="W37" s="249">
        <v>21.1</v>
      </c>
      <c r="X37" s="249">
        <v>70.4</v>
      </c>
      <c r="Y37" s="249">
        <v>6.6</v>
      </c>
      <c r="Z37" s="249">
        <v>1430</v>
      </c>
      <c r="AA37" s="249">
        <v>4610</v>
      </c>
      <c r="AB37" s="249">
        <v>80</v>
      </c>
      <c r="AC37" s="249">
        <v>250</v>
      </c>
      <c r="AD37" s="249">
        <v>1010</v>
      </c>
      <c r="AE37" s="249">
        <v>90</v>
      </c>
      <c r="AF37" s="249">
        <v>120</v>
      </c>
      <c r="AG37" s="249">
        <v>940</v>
      </c>
      <c r="AH37" s="249">
        <v>3300</v>
      </c>
      <c r="AI37" s="249">
        <v>250</v>
      </c>
      <c r="AJ37" s="249">
        <v>20</v>
      </c>
      <c r="AK37" s="249">
        <v>850</v>
      </c>
      <c r="AL37" s="249">
        <v>140</v>
      </c>
      <c r="AM37" s="249">
        <v>90</v>
      </c>
      <c r="AN37" s="249">
        <v>160</v>
      </c>
      <c r="AO37" s="249">
        <v>310</v>
      </c>
      <c r="AP37" s="249">
        <v>2430</v>
      </c>
      <c r="AQ37" s="249">
        <v>560</v>
      </c>
      <c r="AR37" s="249">
        <v>480</v>
      </c>
      <c r="AS37" s="249">
        <v>460</v>
      </c>
      <c r="AT37" s="249">
        <v>300</v>
      </c>
      <c r="AU37" s="249">
        <v>1910</v>
      </c>
      <c r="AV37" s="249">
        <v>460</v>
      </c>
      <c r="AW37" s="249">
        <v>370</v>
      </c>
      <c r="AX37" s="249">
        <v>410</v>
      </c>
      <c r="AY37" s="249">
        <v>870</v>
      </c>
      <c r="AZ37" s="249">
        <v>2740</v>
      </c>
      <c r="BA37" s="249">
        <v>2210</v>
      </c>
      <c r="BB37" s="249">
        <v>8</v>
      </c>
      <c r="BC37" s="249">
        <v>11</v>
      </c>
      <c r="BD37" s="249">
        <v>140</v>
      </c>
      <c r="BE37" s="249">
        <v>40</v>
      </c>
      <c r="BF37" s="249">
        <v>70</v>
      </c>
      <c r="BG37" s="249">
        <v>110</v>
      </c>
      <c r="BH37" s="249">
        <v>20</v>
      </c>
      <c r="BI37" s="249">
        <v>180</v>
      </c>
      <c r="BJ37" s="249">
        <v>190</v>
      </c>
      <c r="BK37" s="252">
        <v>150</v>
      </c>
      <c r="BL37" s="205"/>
      <c r="BM37" s="205"/>
      <c r="BN37" s="205"/>
      <c r="BO37" s="205"/>
    </row>
    <row r="38" spans="1:67" ht="11.25">
      <c r="A38" s="248">
        <f t="shared" si="0"/>
        <v>37</v>
      </c>
      <c r="B38" s="249" t="s">
        <v>651</v>
      </c>
      <c r="C38" s="249" t="s">
        <v>649</v>
      </c>
      <c r="D38" s="249" t="s">
        <v>483</v>
      </c>
      <c r="E38" s="249">
        <v>2009</v>
      </c>
      <c r="F38" s="249" t="s">
        <v>204</v>
      </c>
      <c r="G38" s="250">
        <v>6.1</v>
      </c>
      <c r="H38" s="250">
        <v>7.5</v>
      </c>
      <c r="I38" s="250">
        <v>7.1</v>
      </c>
      <c r="J38" s="250">
        <v>6.7</v>
      </c>
      <c r="K38" s="249">
        <v>1.2</v>
      </c>
      <c r="L38" s="249">
        <v>1180</v>
      </c>
      <c r="M38" s="249">
        <v>2008</v>
      </c>
      <c r="N38" s="249">
        <v>2009</v>
      </c>
      <c r="O38" s="249">
        <v>2028</v>
      </c>
      <c r="P38" s="251">
        <v>120</v>
      </c>
      <c r="Q38" s="251">
        <v>100</v>
      </c>
      <c r="R38" s="249">
        <v>10</v>
      </c>
      <c r="S38" s="249">
        <v>190</v>
      </c>
      <c r="T38" s="249">
        <v>900</v>
      </c>
      <c r="U38" s="249">
        <v>80</v>
      </c>
      <c r="V38" s="249">
        <v>0.8</v>
      </c>
      <c r="W38" s="249">
        <v>16.1</v>
      </c>
      <c r="X38" s="249">
        <v>76.3</v>
      </c>
      <c r="Y38" s="249">
        <v>6.8</v>
      </c>
      <c r="Z38" s="249">
        <v>450</v>
      </c>
      <c r="AA38" s="249">
        <v>1650</v>
      </c>
      <c r="AB38" s="249">
        <v>20</v>
      </c>
      <c r="AC38" s="249">
        <v>100</v>
      </c>
      <c r="AD38" s="249">
        <v>310</v>
      </c>
      <c r="AE38" s="249">
        <v>20</v>
      </c>
      <c r="AF38" s="249">
        <v>10</v>
      </c>
      <c r="AG38" s="249">
        <v>250</v>
      </c>
      <c r="AH38" s="249">
        <v>1290</v>
      </c>
      <c r="AI38" s="249">
        <v>100</v>
      </c>
      <c r="AJ38" s="249">
        <v>20</v>
      </c>
      <c r="AK38" s="249">
        <v>250</v>
      </c>
      <c r="AL38" s="249">
        <v>40</v>
      </c>
      <c r="AM38" s="249">
        <v>60</v>
      </c>
      <c r="AN38" s="249">
        <v>40</v>
      </c>
      <c r="AO38" s="249">
        <v>100</v>
      </c>
      <c r="AP38" s="249">
        <v>860</v>
      </c>
      <c r="AQ38" s="249">
        <v>330</v>
      </c>
      <c r="AR38" s="249">
        <v>150</v>
      </c>
      <c r="AS38" s="249">
        <v>100</v>
      </c>
      <c r="AT38" s="249">
        <v>70</v>
      </c>
      <c r="AU38" s="249">
        <v>560</v>
      </c>
      <c r="AV38" s="249">
        <v>270</v>
      </c>
      <c r="AW38" s="249">
        <v>120</v>
      </c>
      <c r="AX38" s="249">
        <v>70</v>
      </c>
      <c r="AY38" s="249">
        <v>270</v>
      </c>
      <c r="AZ38" s="249">
        <v>960</v>
      </c>
      <c r="BA38" s="249">
        <v>630</v>
      </c>
      <c r="BB38" s="249">
        <v>3</v>
      </c>
      <c r="BC38" s="249">
        <v>3</v>
      </c>
      <c r="BD38" s="249">
        <v>40</v>
      </c>
      <c r="BE38" s="249">
        <v>30</v>
      </c>
      <c r="BF38" s="249">
        <v>20</v>
      </c>
      <c r="BG38" s="249">
        <v>20</v>
      </c>
      <c r="BH38" s="249">
        <v>3</v>
      </c>
      <c r="BI38" s="249">
        <v>40</v>
      </c>
      <c r="BJ38" s="249">
        <v>70</v>
      </c>
      <c r="BK38" s="252">
        <v>40</v>
      </c>
      <c r="BL38" s="205"/>
      <c r="BM38" s="205"/>
      <c r="BN38" s="205"/>
      <c r="BO38" s="205"/>
    </row>
    <row r="39" spans="1:67" ht="11.25">
      <c r="A39" s="248">
        <f t="shared" si="0"/>
        <v>38</v>
      </c>
      <c r="B39" s="249" t="s">
        <v>590</v>
      </c>
      <c r="C39" s="249" t="s">
        <v>111</v>
      </c>
      <c r="D39" s="249" t="s">
        <v>483</v>
      </c>
      <c r="E39" s="249">
        <v>2009</v>
      </c>
      <c r="F39" s="249" t="s">
        <v>204</v>
      </c>
      <c r="G39" s="250">
        <v>4.6</v>
      </c>
      <c r="H39" s="250">
        <v>6.6</v>
      </c>
      <c r="I39" s="250">
        <v>5.5</v>
      </c>
      <c r="J39" s="250">
        <v>5.3</v>
      </c>
      <c r="K39" s="249">
        <v>1.4</v>
      </c>
      <c r="L39" s="249">
        <v>2160</v>
      </c>
      <c r="M39" s="249">
        <v>2008</v>
      </c>
      <c r="N39" s="249">
        <v>2009</v>
      </c>
      <c r="O39" s="249">
        <v>2028</v>
      </c>
      <c r="P39" s="251">
        <v>330</v>
      </c>
      <c r="Q39" s="251">
        <v>150</v>
      </c>
      <c r="R39" s="249">
        <v>150</v>
      </c>
      <c r="S39" s="249">
        <v>860</v>
      </c>
      <c r="T39" s="249">
        <v>1130</v>
      </c>
      <c r="U39" s="249">
        <v>20</v>
      </c>
      <c r="V39" s="249">
        <v>6.9</v>
      </c>
      <c r="W39" s="249">
        <v>39.8</v>
      </c>
      <c r="X39" s="249">
        <v>52.3</v>
      </c>
      <c r="Y39" s="249">
        <v>0.9</v>
      </c>
      <c r="Z39" s="249">
        <v>930</v>
      </c>
      <c r="AA39" s="249">
        <v>2600</v>
      </c>
      <c r="AB39" s="249">
        <v>130</v>
      </c>
      <c r="AC39" s="249">
        <v>290</v>
      </c>
      <c r="AD39" s="249">
        <v>490</v>
      </c>
      <c r="AE39" s="249">
        <v>20</v>
      </c>
      <c r="AF39" s="249">
        <v>220</v>
      </c>
      <c r="AG39" s="249">
        <v>910</v>
      </c>
      <c r="AH39" s="249">
        <v>1450</v>
      </c>
      <c r="AI39" s="249">
        <v>20</v>
      </c>
      <c r="AJ39" s="249">
        <v>80</v>
      </c>
      <c r="AK39" s="249">
        <v>370</v>
      </c>
      <c r="AL39" s="249">
        <v>40</v>
      </c>
      <c r="AM39" s="249">
        <v>60</v>
      </c>
      <c r="AN39" s="249">
        <v>230</v>
      </c>
      <c r="AO39" s="249">
        <v>70</v>
      </c>
      <c r="AP39" s="249">
        <v>1010</v>
      </c>
      <c r="AQ39" s="249">
        <v>370</v>
      </c>
      <c r="AR39" s="249">
        <v>280</v>
      </c>
      <c r="AS39" s="249">
        <v>630</v>
      </c>
      <c r="AT39" s="249">
        <v>60</v>
      </c>
      <c r="AU39" s="249">
        <v>750</v>
      </c>
      <c r="AV39" s="249">
        <v>320</v>
      </c>
      <c r="AW39" s="249">
        <v>270</v>
      </c>
      <c r="AX39" s="249">
        <v>590</v>
      </c>
      <c r="AY39" s="249">
        <v>450</v>
      </c>
      <c r="AZ39" s="249">
        <v>1080</v>
      </c>
      <c r="BA39" s="249">
        <v>810</v>
      </c>
      <c r="BB39" s="249">
        <v>1</v>
      </c>
      <c r="BC39" s="249">
        <v>3</v>
      </c>
      <c r="BD39" s="249">
        <v>60</v>
      </c>
      <c r="BE39" s="249">
        <v>30</v>
      </c>
      <c r="BF39" s="249">
        <v>50</v>
      </c>
      <c r="BG39" s="249">
        <v>150</v>
      </c>
      <c r="BH39" s="249">
        <v>40</v>
      </c>
      <c r="BI39" s="249">
        <v>200</v>
      </c>
      <c r="BJ39" s="249">
        <v>90</v>
      </c>
      <c r="BK39" s="252">
        <v>60</v>
      </c>
      <c r="BL39" s="205"/>
      <c r="BM39" s="205"/>
      <c r="BN39" s="205"/>
      <c r="BO39" s="205"/>
    </row>
    <row r="40" spans="1:67" ht="11.25">
      <c r="A40" s="248">
        <f t="shared" si="0"/>
        <v>39</v>
      </c>
      <c r="B40" s="249" t="s">
        <v>591</v>
      </c>
      <c r="C40" s="249" t="s">
        <v>110</v>
      </c>
      <c r="D40" s="249" t="s">
        <v>483</v>
      </c>
      <c r="E40" s="249">
        <v>2009</v>
      </c>
      <c r="F40" s="249" t="s">
        <v>204</v>
      </c>
      <c r="G40" s="250">
        <v>1.3</v>
      </c>
      <c r="H40" s="250">
        <v>4.3</v>
      </c>
      <c r="I40" s="250">
        <v>6.4</v>
      </c>
      <c r="J40" s="250">
        <v>3.7</v>
      </c>
      <c r="K40" s="249">
        <v>3.3</v>
      </c>
      <c r="L40" s="249">
        <v>1180</v>
      </c>
      <c r="M40" s="249">
        <v>2008</v>
      </c>
      <c r="N40" s="249">
        <v>2009</v>
      </c>
      <c r="O40" s="249">
        <v>2028</v>
      </c>
      <c r="P40" s="251">
        <v>190</v>
      </c>
      <c r="Q40" s="251">
        <v>160</v>
      </c>
      <c r="R40" s="249">
        <v>60</v>
      </c>
      <c r="S40" s="249">
        <v>560</v>
      </c>
      <c r="T40" s="249">
        <v>480</v>
      </c>
      <c r="U40" s="249">
        <v>80</v>
      </c>
      <c r="V40" s="249">
        <v>5.1</v>
      </c>
      <c r="W40" s="249">
        <v>47.4</v>
      </c>
      <c r="X40" s="249">
        <v>40.8</v>
      </c>
      <c r="Y40" s="249">
        <v>6.8</v>
      </c>
      <c r="Z40" s="249">
        <v>700</v>
      </c>
      <c r="AA40" s="249">
        <v>1460</v>
      </c>
      <c r="AB40" s="249">
        <v>130</v>
      </c>
      <c r="AC40" s="249">
        <v>300</v>
      </c>
      <c r="AD40" s="249">
        <v>250</v>
      </c>
      <c r="AE40" s="249">
        <v>20</v>
      </c>
      <c r="AF40" s="249">
        <v>110</v>
      </c>
      <c r="AG40" s="249">
        <v>660</v>
      </c>
      <c r="AH40" s="249">
        <v>610</v>
      </c>
      <c r="AI40" s="249">
        <v>80</v>
      </c>
      <c r="AJ40" s="249">
        <v>30</v>
      </c>
      <c r="AK40" s="249">
        <v>190</v>
      </c>
      <c r="AL40" s="249">
        <v>30</v>
      </c>
      <c r="AM40" s="249">
        <v>160</v>
      </c>
      <c r="AN40" s="249">
        <v>140</v>
      </c>
      <c r="AO40" s="249">
        <v>20</v>
      </c>
      <c r="AP40" s="249">
        <v>460</v>
      </c>
      <c r="AQ40" s="249">
        <v>130</v>
      </c>
      <c r="AR40" s="249">
        <v>300</v>
      </c>
      <c r="AS40" s="249">
        <v>360</v>
      </c>
      <c r="AT40" s="249">
        <v>20</v>
      </c>
      <c r="AU40" s="249">
        <v>360</v>
      </c>
      <c r="AV40" s="249">
        <v>100</v>
      </c>
      <c r="AW40" s="249">
        <v>270</v>
      </c>
      <c r="AX40" s="249">
        <v>290</v>
      </c>
      <c r="AY40" s="249">
        <v>220</v>
      </c>
      <c r="AZ40" s="249">
        <v>480</v>
      </c>
      <c r="BA40" s="249">
        <v>380</v>
      </c>
      <c r="BB40" s="249">
        <v>3</v>
      </c>
      <c r="BC40" s="249">
        <v>1</v>
      </c>
      <c r="BD40" s="249">
        <v>30</v>
      </c>
      <c r="BE40" s="249">
        <v>9</v>
      </c>
      <c r="BF40" s="249">
        <v>50</v>
      </c>
      <c r="BG40" s="249">
        <v>80</v>
      </c>
      <c r="BH40" s="249">
        <v>19</v>
      </c>
      <c r="BI40" s="249">
        <v>130</v>
      </c>
      <c r="BJ40" s="249">
        <v>40</v>
      </c>
      <c r="BK40" s="252">
        <v>30</v>
      </c>
      <c r="BL40" s="205"/>
      <c r="BM40" s="205"/>
      <c r="BN40" s="205"/>
      <c r="BO40" s="205"/>
    </row>
    <row r="41" spans="1:67" ht="11.25">
      <c r="A41" s="248">
        <f t="shared" si="0"/>
        <v>40</v>
      </c>
      <c r="B41" s="249" t="s">
        <v>592</v>
      </c>
      <c r="C41" s="249" t="s">
        <v>109</v>
      </c>
      <c r="D41" s="249" t="s">
        <v>483</v>
      </c>
      <c r="E41" s="249">
        <v>2009</v>
      </c>
      <c r="F41" s="249" t="s">
        <v>204</v>
      </c>
      <c r="G41" s="250">
        <v>2.9</v>
      </c>
      <c r="H41" s="250">
        <v>5.1</v>
      </c>
      <c r="I41" s="250">
        <v>6.1</v>
      </c>
      <c r="J41" s="250">
        <v>3.8</v>
      </c>
      <c r="K41" s="249">
        <v>1.8</v>
      </c>
      <c r="L41" s="249">
        <v>670</v>
      </c>
      <c r="M41" s="249">
        <v>2008</v>
      </c>
      <c r="N41" s="249">
        <v>2009</v>
      </c>
      <c r="O41" s="249">
        <v>2028</v>
      </c>
      <c r="P41" s="251">
        <v>90</v>
      </c>
      <c r="Q41" s="251">
        <v>130</v>
      </c>
      <c r="R41" s="249">
        <v>40</v>
      </c>
      <c r="S41" s="249">
        <v>200</v>
      </c>
      <c r="T41" s="249">
        <v>420</v>
      </c>
      <c r="U41" s="249">
        <v>10</v>
      </c>
      <c r="V41" s="249">
        <v>6</v>
      </c>
      <c r="W41" s="249">
        <v>29.8</v>
      </c>
      <c r="X41" s="249">
        <v>62.7</v>
      </c>
      <c r="Y41" s="249">
        <v>1.4</v>
      </c>
      <c r="Z41" s="249">
        <v>400</v>
      </c>
      <c r="AA41" s="249">
        <v>850</v>
      </c>
      <c r="AB41" s="249">
        <v>40</v>
      </c>
      <c r="AC41" s="249">
        <v>70</v>
      </c>
      <c r="AD41" s="249">
        <v>270</v>
      </c>
      <c r="AE41" s="249">
        <v>20</v>
      </c>
      <c r="AF41" s="249">
        <v>40</v>
      </c>
      <c r="AG41" s="249">
        <v>220</v>
      </c>
      <c r="AH41" s="249">
        <v>580</v>
      </c>
      <c r="AI41" s="249">
        <v>10</v>
      </c>
      <c r="AJ41" s="249">
        <v>60</v>
      </c>
      <c r="AK41" s="249">
        <v>210</v>
      </c>
      <c r="AL41" s="249">
        <v>0</v>
      </c>
      <c r="AM41" s="249">
        <v>50</v>
      </c>
      <c r="AN41" s="249">
        <v>20</v>
      </c>
      <c r="AO41" s="249">
        <v>50</v>
      </c>
      <c r="AP41" s="249">
        <v>510</v>
      </c>
      <c r="AQ41" s="249">
        <v>20</v>
      </c>
      <c r="AR41" s="249">
        <v>130</v>
      </c>
      <c r="AS41" s="249">
        <v>90</v>
      </c>
      <c r="AT41" s="249">
        <v>40</v>
      </c>
      <c r="AU41" s="249">
        <v>360</v>
      </c>
      <c r="AV41" s="249">
        <v>20</v>
      </c>
      <c r="AW41" s="249">
        <v>120</v>
      </c>
      <c r="AX41" s="249">
        <v>80</v>
      </c>
      <c r="AY41" s="249">
        <v>270</v>
      </c>
      <c r="AZ41" s="249">
        <v>560</v>
      </c>
      <c r="BA41" s="249">
        <v>400</v>
      </c>
      <c r="BB41" s="249">
        <v>0</v>
      </c>
      <c r="BC41" s="249">
        <v>2</v>
      </c>
      <c r="BD41" s="249">
        <v>30</v>
      </c>
      <c r="BE41" s="249">
        <v>2</v>
      </c>
      <c r="BF41" s="249">
        <v>20</v>
      </c>
      <c r="BG41" s="249">
        <v>30</v>
      </c>
      <c r="BH41" s="249">
        <v>14</v>
      </c>
      <c r="BI41" s="249">
        <v>50</v>
      </c>
      <c r="BJ41" s="249">
        <v>30</v>
      </c>
      <c r="BK41" s="252">
        <v>30</v>
      </c>
      <c r="BL41" s="205"/>
      <c r="BM41" s="205"/>
      <c r="BN41" s="205"/>
      <c r="BO41" s="205"/>
    </row>
    <row r="42" spans="1:67" ht="11.25">
      <c r="A42" s="248">
        <f t="shared" si="0"/>
        <v>41</v>
      </c>
      <c r="B42" s="249" t="s">
        <v>625</v>
      </c>
      <c r="C42" s="249" t="s">
        <v>209</v>
      </c>
      <c r="D42" s="249" t="s">
        <v>101</v>
      </c>
      <c r="E42" s="249">
        <v>2009</v>
      </c>
      <c r="F42" s="249" t="s">
        <v>204</v>
      </c>
      <c r="G42" s="250">
        <v>2.4</v>
      </c>
      <c r="H42" s="250">
        <v>3</v>
      </c>
      <c r="I42" s="250">
        <v>4.6</v>
      </c>
      <c r="J42" s="250">
        <v>1.7</v>
      </c>
      <c r="K42" s="249">
        <v>1.3</v>
      </c>
      <c r="L42" s="249">
        <v>7090</v>
      </c>
      <c r="M42" s="249">
        <v>2008</v>
      </c>
      <c r="N42" s="249">
        <v>2009</v>
      </c>
      <c r="O42" s="249">
        <v>2028</v>
      </c>
      <c r="P42" s="251">
        <v>630</v>
      </c>
      <c r="Q42" s="251">
        <v>90</v>
      </c>
      <c r="R42" s="249">
        <v>40</v>
      </c>
      <c r="S42" s="249">
        <v>1000</v>
      </c>
      <c r="T42" s="249">
        <v>5240</v>
      </c>
      <c r="U42" s="249">
        <v>810</v>
      </c>
      <c r="V42" s="249">
        <v>0.6</v>
      </c>
      <c r="W42" s="249">
        <v>14.1</v>
      </c>
      <c r="X42" s="249">
        <v>73.9</v>
      </c>
      <c r="Y42" s="249">
        <v>11.4</v>
      </c>
      <c r="Z42" s="249">
        <v>6310</v>
      </c>
      <c r="AA42" s="249">
        <v>8890</v>
      </c>
      <c r="AB42" s="249">
        <v>140</v>
      </c>
      <c r="AC42" s="249">
        <v>930</v>
      </c>
      <c r="AD42" s="249">
        <v>3480</v>
      </c>
      <c r="AE42" s="249">
        <v>1760</v>
      </c>
      <c r="AF42" s="249">
        <v>120</v>
      </c>
      <c r="AG42" s="249">
        <v>1560</v>
      </c>
      <c r="AH42" s="249">
        <v>6410</v>
      </c>
      <c r="AI42" s="249">
        <v>800</v>
      </c>
      <c r="AJ42" s="249">
        <v>420</v>
      </c>
      <c r="AK42" s="249">
        <v>2330</v>
      </c>
      <c r="AL42" s="249">
        <v>730</v>
      </c>
      <c r="AM42" s="249">
        <v>670</v>
      </c>
      <c r="AN42" s="249">
        <v>260</v>
      </c>
      <c r="AO42" s="249">
        <v>950</v>
      </c>
      <c r="AP42" s="249">
        <v>4360</v>
      </c>
      <c r="AQ42" s="249">
        <v>1100</v>
      </c>
      <c r="AR42" s="249">
        <v>950</v>
      </c>
      <c r="AS42" s="249">
        <v>610</v>
      </c>
      <c r="AT42" s="249">
        <v>920</v>
      </c>
      <c r="AU42" s="249">
        <v>3580</v>
      </c>
      <c r="AV42" s="249">
        <v>740</v>
      </c>
      <c r="AW42" s="249">
        <v>580</v>
      </c>
      <c r="AX42" s="249">
        <v>420</v>
      </c>
      <c r="AY42" s="249">
        <v>2750</v>
      </c>
      <c r="AZ42" s="249">
        <v>5310</v>
      </c>
      <c r="BA42" s="249">
        <v>4500</v>
      </c>
      <c r="BB42" s="249">
        <v>20</v>
      </c>
      <c r="BC42" s="249">
        <v>40</v>
      </c>
      <c r="BD42" s="249">
        <v>260</v>
      </c>
      <c r="BE42" s="249">
        <v>70</v>
      </c>
      <c r="BF42" s="249">
        <v>110</v>
      </c>
      <c r="BG42" s="249">
        <v>110</v>
      </c>
      <c r="BH42" s="249">
        <v>12</v>
      </c>
      <c r="BI42" s="249">
        <v>220</v>
      </c>
      <c r="BJ42" s="249">
        <v>370</v>
      </c>
      <c r="BK42" s="252">
        <v>300</v>
      </c>
      <c r="BL42" s="205"/>
      <c r="BM42" s="205"/>
      <c r="BN42" s="205"/>
      <c r="BO42" s="205"/>
    </row>
    <row r="43" spans="1:67" ht="11.25">
      <c r="A43" s="248">
        <f t="shared" si="0"/>
        <v>42</v>
      </c>
      <c r="B43" s="249" t="s">
        <v>626</v>
      </c>
      <c r="C43" s="249" t="s">
        <v>210</v>
      </c>
      <c r="D43" s="249" t="s">
        <v>101</v>
      </c>
      <c r="E43" s="249">
        <v>2009</v>
      </c>
      <c r="F43" s="249" t="s">
        <v>204</v>
      </c>
      <c r="G43" s="250">
        <v>2.3</v>
      </c>
      <c r="H43" s="250">
        <v>4.3</v>
      </c>
      <c r="I43" s="250">
        <v>4.6</v>
      </c>
      <c r="J43" s="250">
        <v>2.8</v>
      </c>
      <c r="K43" s="249">
        <v>1.9</v>
      </c>
      <c r="L43" s="249">
        <v>600</v>
      </c>
      <c r="M43" s="249">
        <v>2008</v>
      </c>
      <c r="N43" s="249">
        <v>2009</v>
      </c>
      <c r="O43" s="249">
        <v>2028</v>
      </c>
      <c r="P43" s="251">
        <v>50</v>
      </c>
      <c r="Q43" s="251">
        <v>90</v>
      </c>
      <c r="R43" s="249">
        <v>0</v>
      </c>
      <c r="S43" s="249">
        <v>120</v>
      </c>
      <c r="T43" s="249">
        <v>400</v>
      </c>
      <c r="U43" s="249">
        <v>80</v>
      </c>
      <c r="V43" s="249">
        <v>0</v>
      </c>
      <c r="W43" s="249">
        <v>20</v>
      </c>
      <c r="X43" s="249">
        <v>66.7</v>
      </c>
      <c r="Y43" s="249">
        <v>13.3</v>
      </c>
      <c r="Z43" s="249">
        <v>470</v>
      </c>
      <c r="AA43" s="249">
        <v>810</v>
      </c>
      <c r="AB43" s="249"/>
      <c r="AC43" s="249">
        <v>80</v>
      </c>
      <c r="AD43" s="249">
        <v>300</v>
      </c>
      <c r="AE43" s="249">
        <v>90</v>
      </c>
      <c r="AF43" s="249">
        <v>0</v>
      </c>
      <c r="AG43" s="249">
        <v>150</v>
      </c>
      <c r="AH43" s="249">
        <v>580</v>
      </c>
      <c r="AI43" s="249">
        <v>80</v>
      </c>
      <c r="AJ43" s="249">
        <v>80</v>
      </c>
      <c r="AK43" s="249">
        <v>200</v>
      </c>
      <c r="AL43" s="249">
        <v>20</v>
      </c>
      <c r="AM43" s="249">
        <v>50</v>
      </c>
      <c r="AN43" s="249">
        <v>30</v>
      </c>
      <c r="AO43" s="249">
        <v>120</v>
      </c>
      <c r="AP43" s="249">
        <v>370</v>
      </c>
      <c r="AQ43" s="249">
        <v>90</v>
      </c>
      <c r="AR43" s="249">
        <v>90</v>
      </c>
      <c r="AS43" s="249">
        <v>60</v>
      </c>
      <c r="AT43" s="249">
        <v>70</v>
      </c>
      <c r="AU43" s="249">
        <v>260</v>
      </c>
      <c r="AV43" s="249">
        <v>70</v>
      </c>
      <c r="AW43" s="249">
        <v>80</v>
      </c>
      <c r="AX43" s="249">
        <v>40</v>
      </c>
      <c r="AY43" s="249">
        <v>280</v>
      </c>
      <c r="AZ43" s="249">
        <v>490</v>
      </c>
      <c r="BA43" s="249">
        <v>330</v>
      </c>
      <c r="BB43" s="249">
        <v>2</v>
      </c>
      <c r="BC43" s="249">
        <v>3</v>
      </c>
      <c r="BD43" s="249">
        <v>16</v>
      </c>
      <c r="BE43" s="249">
        <v>7</v>
      </c>
      <c r="BF43" s="249">
        <v>16</v>
      </c>
      <c r="BG43" s="249">
        <v>10</v>
      </c>
      <c r="BH43" s="249">
        <v>0</v>
      </c>
      <c r="BI43" s="249">
        <v>30</v>
      </c>
      <c r="BJ43" s="249">
        <v>30</v>
      </c>
      <c r="BK43" s="252">
        <v>20</v>
      </c>
      <c r="BL43" s="205"/>
      <c r="BM43" s="205"/>
      <c r="BN43" s="205"/>
      <c r="BO43" s="205"/>
    </row>
    <row r="44" spans="1:67" ht="11.25">
      <c r="A44" s="248">
        <f t="shared" si="0"/>
        <v>43</v>
      </c>
      <c r="B44" s="249" t="s">
        <v>343</v>
      </c>
      <c r="C44" s="249" t="s">
        <v>102</v>
      </c>
      <c r="D44" s="249" t="s">
        <v>102</v>
      </c>
      <c r="E44" s="249">
        <v>2009</v>
      </c>
      <c r="F44" s="249" t="s">
        <v>204</v>
      </c>
      <c r="G44" s="250">
        <v>1.9</v>
      </c>
      <c r="H44" s="250">
        <v>4.1</v>
      </c>
      <c r="I44" s="250">
        <v>4.8</v>
      </c>
      <c r="J44" s="250">
        <v>3</v>
      </c>
      <c r="K44" s="249">
        <v>2.2</v>
      </c>
      <c r="L44" s="249">
        <v>7330</v>
      </c>
      <c r="M44" s="249">
        <v>2008</v>
      </c>
      <c r="N44" s="249">
        <v>2009</v>
      </c>
      <c r="O44" s="249">
        <v>2028</v>
      </c>
      <c r="P44" s="251">
        <v>800</v>
      </c>
      <c r="Q44" s="251">
        <v>110</v>
      </c>
      <c r="R44" s="249">
        <v>200</v>
      </c>
      <c r="S44" s="249">
        <v>1480</v>
      </c>
      <c r="T44" s="249">
        <v>5310</v>
      </c>
      <c r="U44" s="249">
        <v>340</v>
      </c>
      <c r="V44" s="249">
        <v>2.7</v>
      </c>
      <c r="W44" s="249">
        <v>20.2</v>
      </c>
      <c r="X44" s="249">
        <v>72.4</v>
      </c>
      <c r="Y44" s="249">
        <v>4.6</v>
      </c>
      <c r="Z44" s="249">
        <v>4330</v>
      </c>
      <c r="AA44" s="249">
        <v>7770</v>
      </c>
      <c r="AB44" s="249">
        <v>190</v>
      </c>
      <c r="AC44" s="249">
        <v>660</v>
      </c>
      <c r="AD44" s="249">
        <v>2970</v>
      </c>
      <c r="AE44" s="249">
        <v>510</v>
      </c>
      <c r="AF44" s="249">
        <v>230</v>
      </c>
      <c r="AG44" s="249">
        <v>1580</v>
      </c>
      <c r="AH44" s="249">
        <v>5620</v>
      </c>
      <c r="AI44" s="249">
        <v>340</v>
      </c>
      <c r="AJ44" s="249">
        <v>380</v>
      </c>
      <c r="AK44" s="249">
        <v>2170</v>
      </c>
      <c r="AL44" s="249">
        <v>420</v>
      </c>
      <c r="AM44" s="249">
        <v>280</v>
      </c>
      <c r="AN44" s="249">
        <v>380</v>
      </c>
      <c r="AO44" s="249">
        <v>700</v>
      </c>
      <c r="AP44" s="249">
        <v>4040</v>
      </c>
      <c r="AQ44" s="249">
        <v>880</v>
      </c>
      <c r="AR44" s="249">
        <v>820</v>
      </c>
      <c r="AS44" s="249">
        <v>760</v>
      </c>
      <c r="AT44" s="249">
        <v>780</v>
      </c>
      <c r="AU44" s="249">
        <v>3750</v>
      </c>
      <c r="AV44" s="249">
        <v>780</v>
      </c>
      <c r="AW44" s="249">
        <v>750</v>
      </c>
      <c r="AX44" s="249">
        <v>730</v>
      </c>
      <c r="AY44" s="249">
        <v>2550</v>
      </c>
      <c r="AZ44" s="249">
        <v>4740</v>
      </c>
      <c r="BA44" s="249">
        <v>4530</v>
      </c>
      <c r="BB44" s="249">
        <v>11</v>
      </c>
      <c r="BC44" s="249">
        <v>30</v>
      </c>
      <c r="BD44" s="249">
        <v>280</v>
      </c>
      <c r="BE44" s="249">
        <v>80</v>
      </c>
      <c r="BF44" s="249">
        <v>150</v>
      </c>
      <c r="BG44" s="249">
        <v>190</v>
      </c>
      <c r="BH44" s="249">
        <v>60</v>
      </c>
      <c r="BI44" s="249">
        <v>340</v>
      </c>
      <c r="BJ44" s="249">
        <v>390</v>
      </c>
      <c r="BK44" s="252">
        <v>310</v>
      </c>
      <c r="BL44" s="205"/>
      <c r="BM44" s="205"/>
      <c r="BN44" s="205"/>
      <c r="BO44" s="205"/>
    </row>
    <row r="45" spans="1:67" ht="11.25">
      <c r="A45" s="248">
        <f t="shared" si="0"/>
        <v>44</v>
      </c>
      <c r="B45" s="249" t="s">
        <v>627</v>
      </c>
      <c r="C45" s="249" t="s">
        <v>163</v>
      </c>
      <c r="D45" s="249" t="s">
        <v>104</v>
      </c>
      <c r="E45" s="249">
        <v>2009</v>
      </c>
      <c r="F45" s="249" t="s">
        <v>204</v>
      </c>
      <c r="G45" s="250">
        <v>3.9</v>
      </c>
      <c r="H45" s="250">
        <v>7</v>
      </c>
      <c r="I45" s="250">
        <v>6.3</v>
      </c>
      <c r="J45" s="250">
        <v>4</v>
      </c>
      <c r="K45" s="249">
        <v>1.8</v>
      </c>
      <c r="L45" s="249">
        <v>1050</v>
      </c>
      <c r="M45" s="249">
        <v>2008</v>
      </c>
      <c r="N45" s="249">
        <v>2009</v>
      </c>
      <c r="O45" s="249">
        <v>2028</v>
      </c>
      <c r="P45" s="251">
        <v>110</v>
      </c>
      <c r="Q45" s="251">
        <v>100</v>
      </c>
      <c r="R45" s="249">
        <v>10</v>
      </c>
      <c r="S45" s="249">
        <v>250</v>
      </c>
      <c r="T45" s="249">
        <v>780</v>
      </c>
      <c r="U45" s="249">
        <v>10</v>
      </c>
      <c r="V45" s="249">
        <v>1</v>
      </c>
      <c r="W45" s="249">
        <v>23.8</v>
      </c>
      <c r="X45" s="249">
        <v>74.3</v>
      </c>
      <c r="Y45" s="249">
        <v>1</v>
      </c>
      <c r="Z45" s="249">
        <v>640</v>
      </c>
      <c r="AA45" s="249">
        <v>1410</v>
      </c>
      <c r="AB45" s="249">
        <v>10</v>
      </c>
      <c r="AC45" s="249">
        <v>100</v>
      </c>
      <c r="AD45" s="249">
        <v>520</v>
      </c>
      <c r="AE45" s="249">
        <v>10</v>
      </c>
      <c r="AF45" s="249">
        <v>10</v>
      </c>
      <c r="AG45" s="249">
        <v>290</v>
      </c>
      <c r="AH45" s="249">
        <v>1080</v>
      </c>
      <c r="AI45" s="249">
        <v>30</v>
      </c>
      <c r="AJ45" s="249">
        <v>170</v>
      </c>
      <c r="AK45" s="249">
        <v>330</v>
      </c>
      <c r="AL45" s="249">
        <v>30</v>
      </c>
      <c r="AM45" s="249">
        <v>80</v>
      </c>
      <c r="AN45" s="249">
        <v>20</v>
      </c>
      <c r="AO45" s="249">
        <v>140</v>
      </c>
      <c r="AP45" s="249">
        <v>900</v>
      </c>
      <c r="AQ45" s="249">
        <v>40</v>
      </c>
      <c r="AR45" s="249">
        <v>230</v>
      </c>
      <c r="AS45" s="249">
        <v>60</v>
      </c>
      <c r="AT45" s="249">
        <v>120</v>
      </c>
      <c r="AU45" s="249">
        <v>640</v>
      </c>
      <c r="AV45" s="249">
        <v>20</v>
      </c>
      <c r="AW45" s="249">
        <v>190</v>
      </c>
      <c r="AX45" s="249">
        <v>60</v>
      </c>
      <c r="AY45" s="249">
        <v>500</v>
      </c>
      <c r="AZ45" s="249">
        <v>1040</v>
      </c>
      <c r="BA45" s="249">
        <v>760</v>
      </c>
      <c r="BB45" s="249">
        <v>0</v>
      </c>
      <c r="BC45" s="249">
        <v>5</v>
      </c>
      <c r="BD45" s="249">
        <v>50</v>
      </c>
      <c r="BE45" s="249">
        <v>2</v>
      </c>
      <c r="BF45" s="249">
        <v>30</v>
      </c>
      <c r="BG45" s="249">
        <v>15</v>
      </c>
      <c r="BH45" s="249">
        <v>1</v>
      </c>
      <c r="BI45" s="249">
        <v>50</v>
      </c>
      <c r="BJ45" s="249">
        <v>60</v>
      </c>
      <c r="BK45" s="252">
        <v>60</v>
      </c>
      <c r="BL45" s="205"/>
      <c r="BM45" s="205"/>
      <c r="BN45" s="205"/>
      <c r="BO45" s="205"/>
    </row>
    <row r="46" spans="1:67" ht="11.25">
      <c r="A46" s="248">
        <f t="shared" si="0"/>
        <v>45</v>
      </c>
      <c r="B46" s="249" t="s">
        <v>628</v>
      </c>
      <c r="C46" s="249" t="s">
        <v>153</v>
      </c>
      <c r="D46" s="249" t="s">
        <v>104</v>
      </c>
      <c r="E46" s="249">
        <v>2009</v>
      </c>
      <c r="F46" s="249" t="s">
        <v>204</v>
      </c>
      <c r="G46" s="250">
        <v>3.6</v>
      </c>
      <c r="H46" s="250">
        <v>5.6</v>
      </c>
      <c r="I46" s="250">
        <v>6</v>
      </c>
      <c r="J46" s="250">
        <v>4.2</v>
      </c>
      <c r="K46" s="249">
        <v>1.6</v>
      </c>
      <c r="L46" s="249">
        <v>590</v>
      </c>
      <c r="M46" s="249">
        <v>2008</v>
      </c>
      <c r="N46" s="249">
        <v>2009</v>
      </c>
      <c r="O46" s="249">
        <v>2028</v>
      </c>
      <c r="P46" s="251">
        <v>40</v>
      </c>
      <c r="Q46" s="251">
        <v>70</v>
      </c>
      <c r="R46" s="249">
        <v>0</v>
      </c>
      <c r="S46" s="249">
        <v>40</v>
      </c>
      <c r="T46" s="249">
        <v>480</v>
      </c>
      <c r="U46" s="249">
        <v>70</v>
      </c>
      <c r="V46" s="249">
        <v>0</v>
      </c>
      <c r="W46" s="249">
        <v>6.8</v>
      </c>
      <c r="X46" s="249">
        <v>81.3</v>
      </c>
      <c r="Y46" s="249">
        <v>11.9</v>
      </c>
      <c r="Z46" s="249">
        <v>430</v>
      </c>
      <c r="AA46" s="249">
        <v>980</v>
      </c>
      <c r="AB46" s="249"/>
      <c r="AC46" s="249">
        <v>30</v>
      </c>
      <c r="AD46" s="249">
        <v>360</v>
      </c>
      <c r="AE46" s="249">
        <v>40</v>
      </c>
      <c r="AF46" s="249">
        <v>0</v>
      </c>
      <c r="AG46" s="249">
        <v>50</v>
      </c>
      <c r="AH46" s="249">
        <v>820</v>
      </c>
      <c r="AI46" s="249">
        <v>110</v>
      </c>
      <c r="AJ46" s="249">
        <v>120</v>
      </c>
      <c r="AK46" s="249">
        <v>230</v>
      </c>
      <c r="AL46" s="249">
        <v>10</v>
      </c>
      <c r="AM46" s="249">
        <v>20</v>
      </c>
      <c r="AN46" s="249">
        <v>10</v>
      </c>
      <c r="AO46" s="249">
        <v>210</v>
      </c>
      <c r="AP46" s="249">
        <v>590</v>
      </c>
      <c r="AQ46" s="249">
        <v>20</v>
      </c>
      <c r="AR46" s="249">
        <v>50</v>
      </c>
      <c r="AS46" s="249">
        <v>0</v>
      </c>
      <c r="AT46" s="249">
        <v>140</v>
      </c>
      <c r="AU46" s="249">
        <v>330</v>
      </c>
      <c r="AV46" s="249">
        <v>10</v>
      </c>
      <c r="AW46" s="249">
        <v>40</v>
      </c>
      <c r="AX46" s="249">
        <v>0</v>
      </c>
      <c r="AY46" s="249">
        <v>350</v>
      </c>
      <c r="AZ46" s="249">
        <v>800</v>
      </c>
      <c r="BA46" s="249">
        <v>470</v>
      </c>
      <c r="BB46" s="249">
        <v>2</v>
      </c>
      <c r="BC46" s="249">
        <v>6</v>
      </c>
      <c r="BD46" s="249">
        <v>20</v>
      </c>
      <c r="BE46" s="249">
        <v>1</v>
      </c>
      <c r="BF46" s="249">
        <v>7</v>
      </c>
      <c r="BG46" s="249">
        <v>1</v>
      </c>
      <c r="BH46" s="249">
        <v>0</v>
      </c>
      <c r="BI46" s="249">
        <v>8</v>
      </c>
      <c r="BJ46" s="249">
        <v>30</v>
      </c>
      <c r="BK46" s="252">
        <v>30</v>
      </c>
      <c r="BL46" s="205"/>
      <c r="BM46" s="205"/>
      <c r="BN46" s="205"/>
      <c r="BO46" s="205"/>
    </row>
    <row r="47" spans="1:67" ht="11.25">
      <c r="A47" s="248">
        <f t="shared" si="0"/>
        <v>46</v>
      </c>
      <c r="B47" s="249" t="s">
        <v>344</v>
      </c>
      <c r="C47" s="249" t="s">
        <v>103</v>
      </c>
      <c r="D47" s="249" t="s">
        <v>211</v>
      </c>
      <c r="E47" s="249">
        <v>2009</v>
      </c>
      <c r="F47" s="249" t="s">
        <v>204</v>
      </c>
      <c r="G47" s="250">
        <v>3.8</v>
      </c>
      <c r="H47" s="250">
        <v>6.6</v>
      </c>
      <c r="I47" s="250">
        <v>6.3</v>
      </c>
      <c r="J47" s="250">
        <v>4.1</v>
      </c>
      <c r="K47" s="249">
        <v>1.7</v>
      </c>
      <c r="L47" s="249">
        <v>1710</v>
      </c>
      <c r="M47" s="249">
        <v>2008</v>
      </c>
      <c r="N47" s="249">
        <v>2009</v>
      </c>
      <c r="O47" s="249">
        <v>2028</v>
      </c>
      <c r="P47" s="251">
        <v>300</v>
      </c>
      <c r="Q47" s="251">
        <v>180</v>
      </c>
      <c r="R47" s="249">
        <v>130</v>
      </c>
      <c r="S47" s="249">
        <v>850</v>
      </c>
      <c r="T47" s="249">
        <v>680</v>
      </c>
      <c r="U47" s="249">
        <v>50</v>
      </c>
      <c r="V47" s="249">
        <v>7.6</v>
      </c>
      <c r="W47" s="249">
        <v>49.7</v>
      </c>
      <c r="X47" s="249">
        <v>39.7</v>
      </c>
      <c r="Y47" s="249">
        <v>2.9</v>
      </c>
      <c r="Z47" s="249">
        <v>840</v>
      </c>
      <c r="AA47" s="249">
        <v>1860</v>
      </c>
      <c r="AB47" s="249">
        <v>70</v>
      </c>
      <c r="AC47" s="249">
        <v>360</v>
      </c>
      <c r="AD47" s="249">
        <v>370</v>
      </c>
      <c r="AE47" s="249">
        <v>40</v>
      </c>
      <c r="AF47" s="249">
        <v>150</v>
      </c>
      <c r="AG47" s="249">
        <v>900</v>
      </c>
      <c r="AH47" s="249">
        <v>750</v>
      </c>
      <c r="AI47" s="249">
        <v>60</v>
      </c>
      <c r="AJ47" s="249">
        <v>70</v>
      </c>
      <c r="AK47" s="249">
        <v>250</v>
      </c>
      <c r="AL47" s="249">
        <v>50</v>
      </c>
      <c r="AM47" s="249">
        <v>180</v>
      </c>
      <c r="AN47" s="249">
        <v>180</v>
      </c>
      <c r="AO47" s="249">
        <v>50</v>
      </c>
      <c r="AP47" s="249">
        <v>620</v>
      </c>
      <c r="AQ47" s="249">
        <v>80</v>
      </c>
      <c r="AR47" s="249">
        <v>270</v>
      </c>
      <c r="AS47" s="249">
        <v>630</v>
      </c>
      <c r="AT47" s="249">
        <v>40</v>
      </c>
      <c r="AU47" s="249">
        <v>580</v>
      </c>
      <c r="AV47" s="249">
        <v>60</v>
      </c>
      <c r="AW47" s="249">
        <v>220</v>
      </c>
      <c r="AX47" s="249">
        <v>630</v>
      </c>
      <c r="AY47" s="249">
        <v>320</v>
      </c>
      <c r="AZ47" s="249">
        <v>670</v>
      </c>
      <c r="BA47" s="249">
        <v>620</v>
      </c>
      <c r="BB47" s="249">
        <v>2</v>
      </c>
      <c r="BC47" s="249">
        <v>2</v>
      </c>
      <c r="BD47" s="249">
        <v>40</v>
      </c>
      <c r="BE47" s="249">
        <v>6</v>
      </c>
      <c r="BF47" s="249">
        <v>40</v>
      </c>
      <c r="BG47" s="249">
        <v>160</v>
      </c>
      <c r="BH47" s="249">
        <v>40</v>
      </c>
      <c r="BI47" s="249">
        <v>200</v>
      </c>
      <c r="BJ47" s="249">
        <v>50</v>
      </c>
      <c r="BK47" s="252">
        <v>40</v>
      </c>
      <c r="BL47" s="205"/>
      <c r="BM47" s="205"/>
      <c r="BN47" s="205"/>
      <c r="BO47" s="205"/>
    </row>
    <row r="48" spans="1:67" ht="11.25">
      <c r="A48" s="248">
        <f t="shared" si="0"/>
        <v>47</v>
      </c>
      <c r="B48" s="249" t="s">
        <v>75</v>
      </c>
      <c r="C48" s="249" t="s">
        <v>57</v>
      </c>
      <c r="D48" s="249" t="s">
        <v>106</v>
      </c>
      <c r="E48" s="249">
        <v>2009</v>
      </c>
      <c r="F48" s="249" t="s">
        <v>204</v>
      </c>
      <c r="G48" s="250">
        <v>3.7</v>
      </c>
      <c r="H48" s="250">
        <v>5.1</v>
      </c>
      <c r="I48" s="250">
        <v>5.3</v>
      </c>
      <c r="J48" s="250">
        <v>1.3</v>
      </c>
      <c r="K48" s="249">
        <v>1.4</v>
      </c>
      <c r="L48" s="249">
        <v>1050</v>
      </c>
      <c r="M48" s="249">
        <v>2008</v>
      </c>
      <c r="N48" s="249">
        <v>2009</v>
      </c>
      <c r="O48" s="249">
        <v>2028</v>
      </c>
      <c r="P48" s="251">
        <v>90</v>
      </c>
      <c r="Q48" s="251">
        <v>90</v>
      </c>
      <c r="R48" s="249">
        <v>20</v>
      </c>
      <c r="S48" s="249">
        <v>170</v>
      </c>
      <c r="T48" s="249">
        <v>610</v>
      </c>
      <c r="U48" s="249">
        <v>250</v>
      </c>
      <c r="V48" s="249">
        <v>1.9</v>
      </c>
      <c r="W48" s="249">
        <v>16.2</v>
      </c>
      <c r="X48" s="249">
        <v>58.1</v>
      </c>
      <c r="Y48" s="249">
        <v>23.8</v>
      </c>
      <c r="Z48" s="249">
        <v>1210</v>
      </c>
      <c r="AA48" s="249">
        <v>1570</v>
      </c>
      <c r="AB48" s="249">
        <v>40</v>
      </c>
      <c r="AC48" s="249">
        <v>200</v>
      </c>
      <c r="AD48" s="249">
        <v>620</v>
      </c>
      <c r="AE48" s="249">
        <v>350</v>
      </c>
      <c r="AF48" s="249">
        <v>40</v>
      </c>
      <c r="AG48" s="249">
        <v>250</v>
      </c>
      <c r="AH48" s="249">
        <v>1030</v>
      </c>
      <c r="AI48" s="249">
        <v>250</v>
      </c>
      <c r="AJ48" s="249">
        <v>180</v>
      </c>
      <c r="AK48" s="249">
        <v>380</v>
      </c>
      <c r="AL48" s="249">
        <v>60</v>
      </c>
      <c r="AM48" s="249">
        <v>170</v>
      </c>
      <c r="AN48" s="249">
        <v>30</v>
      </c>
      <c r="AO48" s="249">
        <v>30</v>
      </c>
      <c r="AP48" s="249">
        <v>780</v>
      </c>
      <c r="AQ48" s="249">
        <v>220</v>
      </c>
      <c r="AR48" s="249">
        <v>220</v>
      </c>
      <c r="AS48" s="249">
        <v>30</v>
      </c>
      <c r="AT48" s="249">
        <v>20</v>
      </c>
      <c r="AU48" s="249">
        <v>430</v>
      </c>
      <c r="AV48" s="249">
        <v>160</v>
      </c>
      <c r="AW48" s="249">
        <v>150</v>
      </c>
      <c r="AX48" s="249">
        <v>20</v>
      </c>
      <c r="AY48" s="249">
        <v>560</v>
      </c>
      <c r="AZ48" s="249">
        <v>810</v>
      </c>
      <c r="BA48" s="249">
        <v>450</v>
      </c>
      <c r="BB48" s="249">
        <v>8</v>
      </c>
      <c r="BC48" s="249">
        <v>1</v>
      </c>
      <c r="BD48" s="249">
        <v>30</v>
      </c>
      <c r="BE48" s="249">
        <v>14</v>
      </c>
      <c r="BF48" s="249">
        <v>30</v>
      </c>
      <c r="BG48" s="249">
        <v>4</v>
      </c>
      <c r="BH48" s="249">
        <v>4</v>
      </c>
      <c r="BI48" s="249">
        <v>30</v>
      </c>
      <c r="BJ48" s="249">
        <v>50</v>
      </c>
      <c r="BK48" s="252">
        <v>30</v>
      </c>
      <c r="BL48" s="205"/>
      <c r="BM48" s="205"/>
      <c r="BN48" s="205"/>
      <c r="BO48" s="205"/>
    </row>
    <row r="49" spans="1:67" ht="11.25">
      <c r="A49" s="248">
        <f t="shared" si="0"/>
        <v>48</v>
      </c>
      <c r="B49" s="249" t="s">
        <v>345</v>
      </c>
      <c r="C49" s="249" t="s">
        <v>105</v>
      </c>
      <c r="D49" s="249" t="s">
        <v>211</v>
      </c>
      <c r="E49" s="249">
        <v>2009</v>
      </c>
      <c r="F49" s="249" t="s">
        <v>204</v>
      </c>
      <c r="G49" s="250">
        <v>4.9</v>
      </c>
      <c r="H49" s="250">
        <v>5.8</v>
      </c>
      <c r="I49" s="250">
        <v>5.4</v>
      </c>
      <c r="J49" s="250">
        <v>2.8</v>
      </c>
      <c r="K49" s="249">
        <v>1.2</v>
      </c>
      <c r="L49" s="249">
        <v>620</v>
      </c>
      <c r="M49" s="249">
        <v>2008</v>
      </c>
      <c r="N49" s="249">
        <v>2009</v>
      </c>
      <c r="O49" s="249">
        <v>2028</v>
      </c>
      <c r="P49" s="251">
        <v>70</v>
      </c>
      <c r="Q49" s="251">
        <v>110</v>
      </c>
      <c r="R49" s="249">
        <v>10</v>
      </c>
      <c r="S49" s="249">
        <v>190</v>
      </c>
      <c r="T49" s="249">
        <v>370</v>
      </c>
      <c r="U49" s="249">
        <v>50</v>
      </c>
      <c r="V49" s="249">
        <v>1.6</v>
      </c>
      <c r="W49" s="249">
        <v>30.7</v>
      </c>
      <c r="X49" s="249">
        <v>59.7</v>
      </c>
      <c r="Y49" s="249">
        <v>8.1</v>
      </c>
      <c r="Z49" s="249">
        <v>660</v>
      </c>
      <c r="AA49" s="249">
        <v>1140</v>
      </c>
      <c r="AB49" s="249">
        <v>20</v>
      </c>
      <c r="AC49" s="249">
        <v>140</v>
      </c>
      <c r="AD49" s="249">
        <v>410</v>
      </c>
      <c r="AE49" s="249">
        <v>90</v>
      </c>
      <c r="AF49" s="249">
        <v>20</v>
      </c>
      <c r="AG49" s="249">
        <v>310</v>
      </c>
      <c r="AH49" s="249">
        <v>720</v>
      </c>
      <c r="AI49" s="249">
        <v>90</v>
      </c>
      <c r="AJ49" s="249">
        <v>130</v>
      </c>
      <c r="AK49" s="249">
        <v>230</v>
      </c>
      <c r="AL49" s="249">
        <v>50</v>
      </c>
      <c r="AM49" s="249">
        <v>100</v>
      </c>
      <c r="AN49" s="249">
        <v>40</v>
      </c>
      <c r="AO49" s="249">
        <v>60</v>
      </c>
      <c r="AP49" s="249">
        <v>600</v>
      </c>
      <c r="AQ49" s="249">
        <v>60</v>
      </c>
      <c r="AR49" s="249">
        <v>210</v>
      </c>
      <c r="AS49" s="249">
        <v>100</v>
      </c>
      <c r="AT49" s="249">
        <v>20</v>
      </c>
      <c r="AU49" s="249">
        <v>310</v>
      </c>
      <c r="AV49" s="249">
        <v>40</v>
      </c>
      <c r="AW49" s="249">
        <v>140</v>
      </c>
      <c r="AX49" s="249">
        <v>50</v>
      </c>
      <c r="AY49" s="249">
        <v>360</v>
      </c>
      <c r="AZ49" s="249">
        <v>660</v>
      </c>
      <c r="BA49" s="249">
        <v>330</v>
      </c>
      <c r="BB49" s="249">
        <v>2</v>
      </c>
      <c r="BC49" s="249">
        <v>1</v>
      </c>
      <c r="BD49" s="249">
        <v>20</v>
      </c>
      <c r="BE49" s="249">
        <v>4</v>
      </c>
      <c r="BF49" s="249">
        <v>30</v>
      </c>
      <c r="BG49" s="249">
        <v>13</v>
      </c>
      <c r="BH49" s="249">
        <v>2</v>
      </c>
      <c r="BI49" s="249">
        <v>40</v>
      </c>
      <c r="BJ49" s="249">
        <v>30</v>
      </c>
      <c r="BK49" s="252">
        <v>20</v>
      </c>
      <c r="BL49" s="205"/>
      <c r="BM49" s="205"/>
      <c r="BN49" s="205"/>
      <c r="BO49" s="205"/>
    </row>
    <row r="50" spans="1:67" ht="11.25">
      <c r="A50" s="248">
        <f t="shared" si="0"/>
        <v>49</v>
      </c>
      <c r="B50" s="249" t="s">
        <v>567</v>
      </c>
      <c r="C50" s="249" t="s">
        <v>483</v>
      </c>
      <c r="D50" s="249" t="s">
        <v>483</v>
      </c>
      <c r="E50" s="249">
        <v>2009</v>
      </c>
      <c r="F50" s="249" t="s">
        <v>204</v>
      </c>
      <c r="G50" s="250">
        <v>4.4</v>
      </c>
      <c r="H50" s="250">
        <v>6.5</v>
      </c>
      <c r="I50" s="250">
        <v>6.2</v>
      </c>
      <c r="J50" s="250">
        <v>5.4</v>
      </c>
      <c r="K50" s="249">
        <v>1.5</v>
      </c>
      <c r="L50" s="249">
        <v>8960</v>
      </c>
      <c r="M50" s="249">
        <v>2008</v>
      </c>
      <c r="N50" s="249">
        <v>2009</v>
      </c>
      <c r="O50" s="249">
        <v>2028</v>
      </c>
      <c r="P50" s="251">
        <v>1130</v>
      </c>
      <c r="Q50" s="251">
        <v>130</v>
      </c>
      <c r="R50" s="249">
        <v>330</v>
      </c>
      <c r="S50" s="249">
        <v>2590</v>
      </c>
      <c r="T50" s="249">
        <v>5600</v>
      </c>
      <c r="U50" s="249">
        <v>440</v>
      </c>
      <c r="V50" s="249">
        <v>3.7</v>
      </c>
      <c r="W50" s="249">
        <v>28.9</v>
      </c>
      <c r="X50" s="249">
        <v>62.6</v>
      </c>
      <c r="Y50" s="249">
        <v>4.9</v>
      </c>
      <c r="Z50" s="249">
        <v>3910</v>
      </c>
      <c r="AA50" s="249">
        <v>11170</v>
      </c>
      <c r="AB50" s="249">
        <v>400</v>
      </c>
      <c r="AC50" s="249">
        <v>1010</v>
      </c>
      <c r="AD50" s="249">
        <v>2330</v>
      </c>
      <c r="AE50" s="249">
        <v>170</v>
      </c>
      <c r="AF50" s="249">
        <v>500</v>
      </c>
      <c r="AG50" s="249">
        <v>2980</v>
      </c>
      <c r="AH50" s="249">
        <v>7230</v>
      </c>
      <c r="AI50" s="249">
        <v>460</v>
      </c>
      <c r="AJ50" s="249">
        <v>210</v>
      </c>
      <c r="AK50" s="249">
        <v>1870</v>
      </c>
      <c r="AL50" s="249">
        <v>250</v>
      </c>
      <c r="AM50" s="249">
        <v>420</v>
      </c>
      <c r="AN50" s="249">
        <v>590</v>
      </c>
      <c r="AO50" s="249">
        <v>550</v>
      </c>
      <c r="AP50" s="249">
        <v>5270</v>
      </c>
      <c r="AQ50" s="249">
        <v>1410</v>
      </c>
      <c r="AR50" s="249">
        <v>1340</v>
      </c>
      <c r="AS50" s="249">
        <v>1640</v>
      </c>
      <c r="AT50" s="249">
        <v>490</v>
      </c>
      <c r="AU50" s="249">
        <v>3940</v>
      </c>
      <c r="AV50" s="249">
        <v>1170</v>
      </c>
      <c r="AW50" s="249">
        <v>1150</v>
      </c>
      <c r="AX50" s="249">
        <v>1440</v>
      </c>
      <c r="AY50" s="249">
        <v>2080</v>
      </c>
      <c r="AZ50" s="249">
        <v>5820</v>
      </c>
      <c r="BA50" s="249">
        <v>4430</v>
      </c>
      <c r="BB50" s="249">
        <v>14</v>
      </c>
      <c r="BC50" s="249">
        <v>19</v>
      </c>
      <c r="BD50" s="249">
        <v>290</v>
      </c>
      <c r="BE50" s="249">
        <v>110</v>
      </c>
      <c r="BF50" s="249">
        <v>220</v>
      </c>
      <c r="BG50" s="249">
        <v>380</v>
      </c>
      <c r="BH50" s="249">
        <v>100</v>
      </c>
      <c r="BI50" s="249">
        <v>600</v>
      </c>
      <c r="BJ50" s="249">
        <v>420</v>
      </c>
      <c r="BK50" s="252">
        <v>310</v>
      </c>
      <c r="BL50" s="205"/>
      <c r="BM50" s="205"/>
      <c r="BN50" s="205"/>
      <c r="BO50" s="205"/>
    </row>
    <row r="51" spans="1:67" ht="11.25">
      <c r="A51" s="248">
        <f t="shared" si="0"/>
        <v>50</v>
      </c>
      <c r="B51" s="249" t="s">
        <v>346</v>
      </c>
      <c r="C51" s="249" t="s">
        <v>101</v>
      </c>
      <c r="D51" s="249" t="s">
        <v>101</v>
      </c>
      <c r="E51" s="249">
        <v>2009</v>
      </c>
      <c r="F51" s="249" t="s">
        <v>204</v>
      </c>
      <c r="G51" s="250">
        <v>2.4</v>
      </c>
      <c r="H51" s="250">
        <v>3.2</v>
      </c>
      <c r="I51" s="250">
        <v>4.6</v>
      </c>
      <c r="J51" s="250">
        <v>1.8</v>
      </c>
      <c r="K51" s="249">
        <v>1.3</v>
      </c>
      <c r="L51" s="249">
        <v>7690</v>
      </c>
      <c r="M51" s="249">
        <v>2008</v>
      </c>
      <c r="N51" s="249">
        <v>2009</v>
      </c>
      <c r="O51" s="249">
        <v>2028</v>
      </c>
      <c r="P51" s="251">
        <v>680</v>
      </c>
      <c r="Q51" s="251">
        <v>90</v>
      </c>
      <c r="R51" s="249">
        <v>40</v>
      </c>
      <c r="S51" s="249">
        <v>1130</v>
      </c>
      <c r="T51" s="249">
        <v>5630</v>
      </c>
      <c r="U51" s="249">
        <v>890</v>
      </c>
      <c r="V51" s="249">
        <v>0.5</v>
      </c>
      <c r="W51" s="249">
        <v>14.7</v>
      </c>
      <c r="X51" s="249">
        <v>73.2</v>
      </c>
      <c r="Y51" s="249">
        <v>11.6</v>
      </c>
      <c r="Z51" s="249">
        <v>6780</v>
      </c>
      <c r="AA51" s="249">
        <v>9700</v>
      </c>
      <c r="AB51" s="249">
        <v>140</v>
      </c>
      <c r="AC51" s="249">
        <v>1010</v>
      </c>
      <c r="AD51" s="249">
        <v>3780</v>
      </c>
      <c r="AE51" s="249">
        <v>1850</v>
      </c>
      <c r="AF51" s="249">
        <v>120</v>
      </c>
      <c r="AG51" s="249">
        <v>1720</v>
      </c>
      <c r="AH51" s="249">
        <v>6980</v>
      </c>
      <c r="AI51" s="249">
        <v>880</v>
      </c>
      <c r="AJ51" s="249">
        <v>500</v>
      </c>
      <c r="AK51" s="249">
        <v>2530</v>
      </c>
      <c r="AL51" s="249">
        <v>750</v>
      </c>
      <c r="AM51" s="249">
        <v>720</v>
      </c>
      <c r="AN51" s="249">
        <v>290</v>
      </c>
      <c r="AO51" s="249">
        <v>1070</v>
      </c>
      <c r="AP51" s="249">
        <v>4730</v>
      </c>
      <c r="AQ51" s="249">
        <v>1180</v>
      </c>
      <c r="AR51" s="249">
        <v>1050</v>
      </c>
      <c r="AS51" s="249">
        <v>670</v>
      </c>
      <c r="AT51" s="249">
        <v>990</v>
      </c>
      <c r="AU51" s="249">
        <v>3840</v>
      </c>
      <c r="AV51" s="249">
        <v>800</v>
      </c>
      <c r="AW51" s="249">
        <v>670</v>
      </c>
      <c r="AX51" s="249">
        <v>460</v>
      </c>
      <c r="AY51" s="249">
        <v>3030</v>
      </c>
      <c r="AZ51" s="249">
        <v>5800</v>
      </c>
      <c r="BA51" s="249">
        <v>4830</v>
      </c>
      <c r="BB51" s="249">
        <v>30</v>
      </c>
      <c r="BC51" s="249">
        <v>40</v>
      </c>
      <c r="BD51" s="249">
        <v>270</v>
      </c>
      <c r="BE51" s="249">
        <v>80</v>
      </c>
      <c r="BF51" s="249">
        <v>130</v>
      </c>
      <c r="BG51" s="249">
        <v>120</v>
      </c>
      <c r="BH51" s="249">
        <v>12</v>
      </c>
      <c r="BI51" s="249">
        <v>250</v>
      </c>
      <c r="BJ51" s="249">
        <v>390</v>
      </c>
      <c r="BK51" s="252">
        <v>310</v>
      </c>
      <c r="BL51" s="205"/>
      <c r="BM51" s="205"/>
      <c r="BN51" s="205"/>
      <c r="BO51" s="205"/>
    </row>
    <row r="52" spans="1:67" ht="11.25">
      <c r="A52" s="248">
        <f t="shared" si="0"/>
        <v>51</v>
      </c>
      <c r="B52" s="249" t="s">
        <v>347</v>
      </c>
      <c r="C52" s="249" t="s">
        <v>104</v>
      </c>
      <c r="D52" s="249" t="s">
        <v>104</v>
      </c>
      <c r="E52" s="249">
        <v>2009</v>
      </c>
      <c r="F52" s="249" t="s">
        <v>204</v>
      </c>
      <c r="G52" s="250">
        <v>3.8</v>
      </c>
      <c r="H52" s="250">
        <v>6.5</v>
      </c>
      <c r="I52" s="250">
        <v>6.3</v>
      </c>
      <c r="J52" s="250">
        <v>4.1</v>
      </c>
      <c r="K52" s="249">
        <v>1.7</v>
      </c>
      <c r="L52" s="249">
        <v>1640</v>
      </c>
      <c r="M52" s="249">
        <v>2008</v>
      </c>
      <c r="N52" s="249">
        <v>2009</v>
      </c>
      <c r="O52" s="249">
        <v>2028</v>
      </c>
      <c r="P52" s="251">
        <v>150</v>
      </c>
      <c r="Q52" s="251">
        <v>90</v>
      </c>
      <c r="R52" s="249">
        <v>10</v>
      </c>
      <c r="S52" s="249">
        <v>290</v>
      </c>
      <c r="T52" s="249">
        <v>1260</v>
      </c>
      <c r="U52" s="249">
        <v>80</v>
      </c>
      <c r="V52" s="249">
        <v>0.6</v>
      </c>
      <c r="W52" s="249">
        <v>17.7</v>
      </c>
      <c r="X52" s="249">
        <v>76.8</v>
      </c>
      <c r="Y52" s="249">
        <v>4.9</v>
      </c>
      <c r="Z52" s="249">
        <v>1070</v>
      </c>
      <c r="AA52" s="249">
        <v>2390</v>
      </c>
      <c r="AB52" s="249">
        <v>10</v>
      </c>
      <c r="AC52" s="249">
        <v>130</v>
      </c>
      <c r="AD52" s="249">
        <v>880</v>
      </c>
      <c r="AE52" s="249">
        <v>50</v>
      </c>
      <c r="AF52" s="249">
        <v>10</v>
      </c>
      <c r="AG52" s="249">
        <v>340</v>
      </c>
      <c r="AH52" s="249">
        <v>1900</v>
      </c>
      <c r="AI52" s="249">
        <v>140</v>
      </c>
      <c r="AJ52" s="249">
        <v>290</v>
      </c>
      <c r="AK52" s="249">
        <v>560</v>
      </c>
      <c r="AL52" s="249">
        <v>40</v>
      </c>
      <c r="AM52" s="249">
        <v>100</v>
      </c>
      <c r="AN52" s="249">
        <v>30</v>
      </c>
      <c r="AO52" s="249">
        <v>350</v>
      </c>
      <c r="AP52" s="249">
        <v>1490</v>
      </c>
      <c r="AQ52" s="249">
        <v>60</v>
      </c>
      <c r="AR52" s="249">
        <v>280</v>
      </c>
      <c r="AS52" s="249">
        <v>60</v>
      </c>
      <c r="AT52" s="249">
        <v>260</v>
      </c>
      <c r="AU52" s="249">
        <v>970</v>
      </c>
      <c r="AV52" s="249">
        <v>30</v>
      </c>
      <c r="AW52" s="249">
        <v>230</v>
      </c>
      <c r="AX52" s="249">
        <v>60</v>
      </c>
      <c r="AY52" s="249">
        <v>850</v>
      </c>
      <c r="AZ52" s="249">
        <v>1840</v>
      </c>
      <c r="BA52" s="249">
        <v>1230</v>
      </c>
      <c r="BB52" s="249">
        <v>2</v>
      </c>
      <c r="BC52" s="249">
        <v>11</v>
      </c>
      <c r="BD52" s="249">
        <v>70</v>
      </c>
      <c r="BE52" s="249">
        <v>3</v>
      </c>
      <c r="BF52" s="249">
        <v>40</v>
      </c>
      <c r="BG52" s="249">
        <v>16</v>
      </c>
      <c r="BH52" s="249">
        <v>1</v>
      </c>
      <c r="BI52" s="249">
        <v>60</v>
      </c>
      <c r="BJ52" s="249">
        <v>80</v>
      </c>
      <c r="BK52" s="252">
        <v>80</v>
      </c>
      <c r="BL52" s="205"/>
      <c r="BM52" s="205"/>
      <c r="BN52" s="205"/>
      <c r="BO52" s="205"/>
    </row>
    <row r="53" spans="1:67" ht="11.25">
      <c r="A53" s="248">
        <f t="shared" si="0"/>
        <v>52</v>
      </c>
      <c r="B53" s="249" t="s">
        <v>348</v>
      </c>
      <c r="C53" s="249" t="s">
        <v>100</v>
      </c>
      <c r="D53" s="249" t="s">
        <v>100</v>
      </c>
      <c r="E53" s="249">
        <v>2009</v>
      </c>
      <c r="F53" s="249" t="s">
        <v>204</v>
      </c>
      <c r="G53" s="250">
        <v>3.1</v>
      </c>
      <c r="H53" s="250">
        <v>4.9</v>
      </c>
      <c r="I53" s="250">
        <v>5.4</v>
      </c>
      <c r="J53" s="250">
        <v>3.2</v>
      </c>
      <c r="K53" s="249">
        <v>1.6</v>
      </c>
      <c r="L53" s="249">
        <v>29000</v>
      </c>
      <c r="M53" s="249">
        <v>2008</v>
      </c>
      <c r="N53" s="249">
        <v>2009</v>
      </c>
      <c r="O53" s="249">
        <v>2028</v>
      </c>
      <c r="P53" s="251">
        <v>3220</v>
      </c>
      <c r="Q53" s="251">
        <v>110</v>
      </c>
      <c r="R53" s="249">
        <v>740</v>
      </c>
      <c r="S53" s="249">
        <v>6700</v>
      </c>
      <c r="T53" s="249">
        <v>19460</v>
      </c>
      <c r="U53" s="249">
        <v>2100</v>
      </c>
      <c r="V53" s="249">
        <v>2.6</v>
      </c>
      <c r="W53" s="249">
        <v>23.1</v>
      </c>
      <c r="X53" s="249">
        <v>67.1</v>
      </c>
      <c r="Y53" s="249">
        <v>7.2</v>
      </c>
      <c r="Z53" s="249">
        <v>18800</v>
      </c>
      <c r="AA53" s="249">
        <v>35600</v>
      </c>
      <c r="AB53" s="249">
        <v>870</v>
      </c>
      <c r="AC53" s="249">
        <v>3510</v>
      </c>
      <c r="AD53" s="249">
        <v>11360</v>
      </c>
      <c r="AE53" s="249">
        <v>3060</v>
      </c>
      <c r="AF53" s="249">
        <v>1070</v>
      </c>
      <c r="AG53" s="249">
        <v>8080</v>
      </c>
      <c r="AH53" s="249">
        <v>24230</v>
      </c>
      <c r="AI53" s="249">
        <v>2220</v>
      </c>
      <c r="AJ53" s="249">
        <v>1760</v>
      </c>
      <c r="AK53" s="249">
        <v>7990</v>
      </c>
      <c r="AL53" s="249">
        <v>1620</v>
      </c>
      <c r="AM53" s="249">
        <v>1970</v>
      </c>
      <c r="AN53" s="249">
        <v>1540</v>
      </c>
      <c r="AO53" s="249">
        <v>2810</v>
      </c>
      <c r="AP53" s="249">
        <v>17540</v>
      </c>
      <c r="AQ53" s="249">
        <v>3880</v>
      </c>
      <c r="AR53" s="249">
        <v>4190</v>
      </c>
      <c r="AS53" s="249">
        <v>3890</v>
      </c>
      <c r="AT53" s="249">
        <v>2600</v>
      </c>
      <c r="AU53" s="249">
        <v>13830</v>
      </c>
      <c r="AV53" s="249">
        <v>3030</v>
      </c>
      <c r="AW53" s="249">
        <v>3310</v>
      </c>
      <c r="AX53" s="249">
        <v>3390</v>
      </c>
      <c r="AY53" s="249">
        <v>9750</v>
      </c>
      <c r="AZ53" s="249">
        <v>20350</v>
      </c>
      <c r="BA53" s="249">
        <v>16430</v>
      </c>
      <c r="BB53" s="249">
        <v>70</v>
      </c>
      <c r="BC53" s="249">
        <v>110</v>
      </c>
      <c r="BD53" s="249">
        <v>1020</v>
      </c>
      <c r="BE53" s="249">
        <v>290</v>
      </c>
      <c r="BF53" s="249">
        <v>630</v>
      </c>
      <c r="BG53" s="249">
        <v>880</v>
      </c>
      <c r="BH53" s="249">
        <v>220</v>
      </c>
      <c r="BI53" s="249">
        <v>1510</v>
      </c>
      <c r="BJ53" s="249">
        <v>1420</v>
      </c>
      <c r="BK53" s="252">
        <v>1130</v>
      </c>
      <c r="BL53" s="205"/>
      <c r="BM53" s="205"/>
      <c r="BN53" s="205"/>
      <c r="BO53" s="205"/>
    </row>
    <row r="54" spans="1:67" ht="11.25">
      <c r="A54" s="248">
        <f t="shared" si="0"/>
        <v>53</v>
      </c>
      <c r="B54" s="249" t="s">
        <v>629</v>
      </c>
      <c r="C54" s="249" t="s">
        <v>108</v>
      </c>
      <c r="D54" s="249" t="s">
        <v>483</v>
      </c>
      <c r="E54" s="249">
        <v>2009</v>
      </c>
      <c r="F54" s="249" t="s">
        <v>611</v>
      </c>
      <c r="G54" s="250"/>
      <c r="H54" s="250"/>
      <c r="I54" s="250"/>
      <c r="J54" s="250"/>
      <c r="K54" s="249"/>
      <c r="L54" s="249"/>
      <c r="M54" s="249"/>
      <c r="N54" s="249"/>
      <c r="O54" s="249"/>
      <c r="P54" s="251"/>
      <c r="Q54" s="251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52"/>
      <c r="BL54" s="205"/>
      <c r="BM54" s="205"/>
      <c r="BN54" s="205"/>
      <c r="BO54" s="205"/>
    </row>
    <row r="55" spans="1:67" ht="11.25">
      <c r="A55" s="248">
        <f t="shared" si="0"/>
        <v>54</v>
      </c>
      <c r="B55" s="249" t="s">
        <v>652</v>
      </c>
      <c r="C55" s="249" t="s">
        <v>649</v>
      </c>
      <c r="D55" s="249" t="s">
        <v>483</v>
      </c>
      <c r="E55" s="249">
        <v>2009</v>
      </c>
      <c r="F55" s="249" t="s">
        <v>611</v>
      </c>
      <c r="G55" s="250"/>
      <c r="H55" s="250"/>
      <c r="I55" s="250"/>
      <c r="J55" s="250"/>
      <c r="K55" s="249"/>
      <c r="L55" s="249"/>
      <c r="M55" s="249"/>
      <c r="N55" s="249"/>
      <c r="O55" s="249"/>
      <c r="P55" s="251"/>
      <c r="Q55" s="251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52"/>
      <c r="BL55" s="205"/>
      <c r="BM55" s="205"/>
      <c r="BN55" s="205"/>
      <c r="BO55" s="205"/>
    </row>
    <row r="56" spans="1:67" ht="11.25">
      <c r="A56" s="248">
        <f t="shared" si="0"/>
        <v>55</v>
      </c>
      <c r="B56" s="249" t="s">
        <v>630</v>
      </c>
      <c r="C56" s="249" t="s">
        <v>111</v>
      </c>
      <c r="D56" s="249" t="s">
        <v>483</v>
      </c>
      <c r="E56" s="249">
        <v>2009</v>
      </c>
      <c r="F56" s="249" t="s">
        <v>611</v>
      </c>
      <c r="G56" s="250"/>
      <c r="H56" s="250"/>
      <c r="I56" s="250"/>
      <c r="J56" s="250"/>
      <c r="K56" s="249"/>
      <c r="L56" s="249"/>
      <c r="M56" s="249"/>
      <c r="N56" s="249"/>
      <c r="O56" s="249"/>
      <c r="P56" s="251"/>
      <c r="Q56" s="251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52"/>
      <c r="BL56" s="205"/>
      <c r="BM56" s="205"/>
      <c r="BN56" s="205"/>
      <c r="BO56" s="205"/>
    </row>
    <row r="57" spans="1:67" ht="11.25">
      <c r="A57" s="248">
        <f t="shared" si="0"/>
        <v>56</v>
      </c>
      <c r="B57" s="249" t="s">
        <v>631</v>
      </c>
      <c r="C57" s="249" t="s">
        <v>110</v>
      </c>
      <c r="D57" s="249" t="s">
        <v>483</v>
      </c>
      <c r="E57" s="249">
        <v>2009</v>
      </c>
      <c r="F57" s="249" t="s">
        <v>611</v>
      </c>
      <c r="G57" s="250"/>
      <c r="H57" s="250"/>
      <c r="I57" s="250"/>
      <c r="J57" s="250"/>
      <c r="K57" s="249"/>
      <c r="L57" s="249"/>
      <c r="M57" s="249"/>
      <c r="N57" s="249"/>
      <c r="O57" s="249"/>
      <c r="P57" s="251"/>
      <c r="Q57" s="251"/>
      <c r="R57" s="249"/>
      <c r="S57" s="249"/>
      <c r="T57" s="249"/>
      <c r="U57" s="249"/>
      <c r="V57" s="249"/>
      <c r="W57" s="249"/>
      <c r="X57" s="249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52"/>
      <c r="BL57" s="205"/>
      <c r="BM57" s="205"/>
      <c r="BN57" s="205"/>
      <c r="BO57" s="205"/>
    </row>
    <row r="58" spans="1:67" ht="11.25">
      <c r="A58" s="248">
        <f t="shared" si="0"/>
        <v>57</v>
      </c>
      <c r="B58" s="249" t="s">
        <v>632</v>
      </c>
      <c r="C58" s="249" t="s">
        <v>109</v>
      </c>
      <c r="D58" s="249" t="s">
        <v>483</v>
      </c>
      <c r="E58" s="249">
        <v>2009</v>
      </c>
      <c r="F58" s="249" t="s">
        <v>611</v>
      </c>
      <c r="G58" s="250"/>
      <c r="H58" s="250"/>
      <c r="I58" s="250"/>
      <c r="J58" s="250"/>
      <c r="K58" s="249"/>
      <c r="L58" s="249"/>
      <c r="M58" s="249"/>
      <c r="N58" s="249"/>
      <c r="O58" s="249"/>
      <c r="P58" s="251"/>
      <c r="Q58" s="251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52"/>
      <c r="BL58" s="205"/>
      <c r="BM58" s="205"/>
      <c r="BN58" s="205"/>
      <c r="BO58" s="205"/>
    </row>
    <row r="59" spans="1:67" ht="11.25">
      <c r="A59" s="248">
        <f t="shared" si="0"/>
        <v>58</v>
      </c>
      <c r="B59" s="249" t="s">
        <v>633</v>
      </c>
      <c r="C59" s="249" t="s">
        <v>209</v>
      </c>
      <c r="D59" s="249" t="s">
        <v>101</v>
      </c>
      <c r="E59" s="249">
        <v>2009</v>
      </c>
      <c r="F59" s="249" t="s">
        <v>611</v>
      </c>
      <c r="G59" s="250"/>
      <c r="H59" s="250"/>
      <c r="I59" s="250"/>
      <c r="J59" s="250"/>
      <c r="K59" s="249"/>
      <c r="L59" s="249"/>
      <c r="M59" s="249"/>
      <c r="N59" s="249"/>
      <c r="O59" s="249"/>
      <c r="P59" s="251"/>
      <c r="Q59" s="251"/>
      <c r="R59" s="249"/>
      <c r="S59" s="249"/>
      <c r="T59" s="249"/>
      <c r="U59" s="249"/>
      <c r="V59" s="249"/>
      <c r="W59" s="249"/>
      <c r="X59" s="249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49"/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52"/>
      <c r="BL59" s="205"/>
      <c r="BM59" s="205"/>
      <c r="BN59" s="205"/>
      <c r="BO59" s="205"/>
    </row>
    <row r="60" spans="1:67" ht="11.25">
      <c r="A60" s="248">
        <f t="shared" si="0"/>
        <v>59</v>
      </c>
      <c r="B60" s="249" t="s">
        <v>634</v>
      </c>
      <c r="C60" s="249" t="s">
        <v>210</v>
      </c>
      <c r="D60" s="249" t="s">
        <v>101</v>
      </c>
      <c r="E60" s="249">
        <v>2009</v>
      </c>
      <c r="F60" s="249" t="s">
        <v>611</v>
      </c>
      <c r="G60" s="250"/>
      <c r="H60" s="250"/>
      <c r="I60" s="250"/>
      <c r="J60" s="250"/>
      <c r="K60" s="249"/>
      <c r="L60" s="249"/>
      <c r="M60" s="249"/>
      <c r="N60" s="249"/>
      <c r="O60" s="249"/>
      <c r="P60" s="251"/>
      <c r="Q60" s="251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52"/>
      <c r="BL60" s="205"/>
      <c r="BM60" s="205"/>
      <c r="BN60" s="205"/>
      <c r="BO60" s="205"/>
    </row>
    <row r="61" spans="1:67" ht="11.25">
      <c r="A61" s="248">
        <f t="shared" si="0"/>
        <v>60</v>
      </c>
      <c r="B61" s="249" t="s">
        <v>635</v>
      </c>
      <c r="C61" s="249" t="s">
        <v>102</v>
      </c>
      <c r="D61" s="249" t="s">
        <v>102</v>
      </c>
      <c r="E61" s="249">
        <v>2009</v>
      </c>
      <c r="F61" s="249" t="s">
        <v>611</v>
      </c>
      <c r="G61" s="250"/>
      <c r="H61" s="250"/>
      <c r="I61" s="250"/>
      <c r="J61" s="250"/>
      <c r="K61" s="249"/>
      <c r="L61" s="249"/>
      <c r="M61" s="249"/>
      <c r="N61" s="249"/>
      <c r="O61" s="249"/>
      <c r="P61" s="251"/>
      <c r="Q61" s="251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52"/>
      <c r="BL61" s="205"/>
      <c r="BM61" s="205"/>
      <c r="BN61" s="205"/>
      <c r="BO61" s="205"/>
    </row>
    <row r="62" spans="1:67" ht="11.25">
      <c r="A62" s="248">
        <f t="shared" si="0"/>
        <v>61</v>
      </c>
      <c r="B62" s="249" t="s">
        <v>636</v>
      </c>
      <c r="C62" s="249" t="s">
        <v>163</v>
      </c>
      <c r="D62" s="249" t="s">
        <v>104</v>
      </c>
      <c r="E62" s="249">
        <v>2009</v>
      </c>
      <c r="F62" s="249" t="s">
        <v>611</v>
      </c>
      <c r="G62" s="250"/>
      <c r="H62" s="250"/>
      <c r="I62" s="250"/>
      <c r="J62" s="250"/>
      <c r="K62" s="249"/>
      <c r="L62" s="249"/>
      <c r="M62" s="249"/>
      <c r="N62" s="249"/>
      <c r="O62" s="249"/>
      <c r="P62" s="251"/>
      <c r="Q62" s="251"/>
      <c r="R62" s="249"/>
      <c r="S62" s="249"/>
      <c r="T62" s="249"/>
      <c r="U62" s="249"/>
      <c r="V62" s="249"/>
      <c r="W62" s="249"/>
      <c r="X62" s="249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52"/>
      <c r="BL62" s="205"/>
      <c r="BM62" s="205"/>
      <c r="BN62" s="205"/>
      <c r="BO62" s="205"/>
    </row>
    <row r="63" spans="1:67" ht="11.25">
      <c r="A63" s="248">
        <f t="shared" si="0"/>
        <v>62</v>
      </c>
      <c r="B63" s="249" t="s">
        <v>637</v>
      </c>
      <c r="C63" s="249" t="s">
        <v>153</v>
      </c>
      <c r="D63" s="249" t="s">
        <v>104</v>
      </c>
      <c r="E63" s="249">
        <v>2009</v>
      </c>
      <c r="F63" s="249" t="s">
        <v>611</v>
      </c>
      <c r="G63" s="250"/>
      <c r="H63" s="250"/>
      <c r="I63" s="250"/>
      <c r="J63" s="250"/>
      <c r="K63" s="249"/>
      <c r="L63" s="249"/>
      <c r="M63" s="249"/>
      <c r="N63" s="249"/>
      <c r="O63" s="249"/>
      <c r="P63" s="251"/>
      <c r="Q63" s="251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52"/>
      <c r="BL63" s="205"/>
      <c r="BM63" s="205"/>
      <c r="BN63" s="205"/>
      <c r="BO63" s="205"/>
    </row>
    <row r="64" spans="1:67" ht="11.25">
      <c r="A64" s="248">
        <f t="shared" si="0"/>
        <v>63</v>
      </c>
      <c r="B64" s="249" t="s">
        <v>638</v>
      </c>
      <c r="C64" s="249" t="s">
        <v>103</v>
      </c>
      <c r="D64" s="249" t="s">
        <v>211</v>
      </c>
      <c r="E64" s="249">
        <v>2009</v>
      </c>
      <c r="F64" s="249" t="s">
        <v>611</v>
      </c>
      <c r="G64" s="250"/>
      <c r="H64" s="250"/>
      <c r="I64" s="250"/>
      <c r="J64" s="250"/>
      <c r="K64" s="249"/>
      <c r="L64" s="249"/>
      <c r="M64" s="249"/>
      <c r="N64" s="249"/>
      <c r="O64" s="249"/>
      <c r="P64" s="251"/>
      <c r="Q64" s="251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52"/>
      <c r="BL64" s="205"/>
      <c r="BM64" s="205"/>
      <c r="BN64" s="205"/>
      <c r="BO64" s="205"/>
    </row>
    <row r="65" spans="1:67" ht="11.25">
      <c r="A65" s="248">
        <f t="shared" si="0"/>
        <v>64</v>
      </c>
      <c r="B65" s="249" t="s">
        <v>77</v>
      </c>
      <c r="C65" s="249" t="s">
        <v>57</v>
      </c>
      <c r="D65" s="249" t="s">
        <v>106</v>
      </c>
      <c r="E65" s="249">
        <v>2009</v>
      </c>
      <c r="F65" s="249" t="s">
        <v>611</v>
      </c>
      <c r="G65" s="250"/>
      <c r="H65" s="250"/>
      <c r="I65" s="250"/>
      <c r="J65" s="250"/>
      <c r="K65" s="249"/>
      <c r="L65" s="249"/>
      <c r="M65" s="249"/>
      <c r="N65" s="249"/>
      <c r="O65" s="249"/>
      <c r="P65" s="251"/>
      <c r="Q65" s="251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52"/>
      <c r="BL65" s="205"/>
      <c r="BM65" s="205"/>
      <c r="BN65" s="205"/>
      <c r="BO65" s="205"/>
    </row>
    <row r="66" spans="1:67" ht="11.25">
      <c r="A66" s="248">
        <f t="shared" si="0"/>
        <v>65</v>
      </c>
      <c r="B66" s="249" t="s">
        <v>639</v>
      </c>
      <c r="C66" s="249" t="s">
        <v>105</v>
      </c>
      <c r="D66" s="249" t="s">
        <v>211</v>
      </c>
      <c r="E66" s="249">
        <v>2009</v>
      </c>
      <c r="F66" s="249" t="s">
        <v>611</v>
      </c>
      <c r="G66" s="250"/>
      <c r="H66" s="250"/>
      <c r="I66" s="250"/>
      <c r="J66" s="250"/>
      <c r="K66" s="249"/>
      <c r="L66" s="249"/>
      <c r="M66" s="249"/>
      <c r="N66" s="249"/>
      <c r="O66" s="249"/>
      <c r="P66" s="251"/>
      <c r="Q66" s="251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52"/>
      <c r="BL66" s="205"/>
      <c r="BM66" s="205"/>
      <c r="BN66" s="205"/>
      <c r="BO66" s="205"/>
    </row>
    <row r="67" spans="1:67" ht="11.25">
      <c r="A67" s="248">
        <f t="shared" si="0"/>
        <v>66</v>
      </c>
      <c r="B67" s="249" t="s">
        <v>647</v>
      </c>
      <c r="C67" s="249" t="s">
        <v>483</v>
      </c>
      <c r="D67" s="249" t="s">
        <v>483</v>
      </c>
      <c r="E67" s="249">
        <v>2009</v>
      </c>
      <c r="F67" s="249" t="s">
        <v>611</v>
      </c>
      <c r="G67" s="250"/>
      <c r="H67" s="250"/>
      <c r="I67" s="250"/>
      <c r="J67" s="250"/>
      <c r="K67" s="249"/>
      <c r="L67" s="249"/>
      <c r="M67" s="249"/>
      <c r="N67" s="249"/>
      <c r="O67" s="249"/>
      <c r="P67" s="251"/>
      <c r="Q67" s="251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52"/>
      <c r="BL67" s="205"/>
      <c r="BM67" s="205"/>
      <c r="BN67" s="205"/>
      <c r="BO67" s="205"/>
    </row>
    <row r="68" spans="1:67" ht="11.25">
      <c r="A68" s="248">
        <f t="shared" si="0"/>
        <v>67</v>
      </c>
      <c r="B68" s="249" t="s">
        <v>640</v>
      </c>
      <c r="C68" s="249" t="s">
        <v>101</v>
      </c>
      <c r="D68" s="249" t="s">
        <v>101</v>
      </c>
      <c r="E68" s="249">
        <v>2009</v>
      </c>
      <c r="F68" s="249" t="s">
        <v>611</v>
      </c>
      <c r="G68" s="250"/>
      <c r="H68" s="250"/>
      <c r="I68" s="250"/>
      <c r="J68" s="250"/>
      <c r="K68" s="249"/>
      <c r="L68" s="249"/>
      <c r="M68" s="249"/>
      <c r="N68" s="249"/>
      <c r="O68" s="249"/>
      <c r="P68" s="251"/>
      <c r="Q68" s="251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52"/>
      <c r="BL68" s="205"/>
      <c r="BM68" s="205"/>
      <c r="BN68" s="205"/>
      <c r="BO68" s="205"/>
    </row>
    <row r="69" spans="1:67" ht="11.25">
      <c r="A69" s="248">
        <f t="shared" si="0"/>
        <v>68</v>
      </c>
      <c r="B69" s="249" t="s">
        <v>641</v>
      </c>
      <c r="C69" s="249" t="s">
        <v>104</v>
      </c>
      <c r="D69" s="249" t="s">
        <v>104</v>
      </c>
      <c r="E69" s="249">
        <v>2009</v>
      </c>
      <c r="F69" s="249" t="s">
        <v>611</v>
      </c>
      <c r="G69" s="250"/>
      <c r="H69" s="250"/>
      <c r="I69" s="250"/>
      <c r="J69" s="250"/>
      <c r="K69" s="249"/>
      <c r="L69" s="249"/>
      <c r="M69" s="249"/>
      <c r="N69" s="249"/>
      <c r="O69" s="249"/>
      <c r="P69" s="251"/>
      <c r="Q69" s="251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52"/>
      <c r="BL69" s="205"/>
      <c r="BM69" s="205"/>
      <c r="BN69" s="205"/>
      <c r="BO69" s="205"/>
    </row>
    <row r="70" spans="1:68" ht="12.75">
      <c r="A70" s="248">
        <f t="shared" si="0"/>
        <v>69</v>
      </c>
      <c r="B70" s="249" t="s">
        <v>642</v>
      </c>
      <c r="C70" s="249" t="s">
        <v>100</v>
      </c>
      <c r="D70" s="249" t="s">
        <v>100</v>
      </c>
      <c r="E70" s="249">
        <v>2009</v>
      </c>
      <c r="F70" s="249" t="s">
        <v>611</v>
      </c>
      <c r="G70" s="250"/>
      <c r="H70" s="250"/>
      <c r="I70" s="250"/>
      <c r="J70" s="250"/>
      <c r="K70" s="249"/>
      <c r="L70" s="249"/>
      <c r="M70" s="249"/>
      <c r="N70" s="249"/>
      <c r="O70" s="249"/>
      <c r="P70" s="251"/>
      <c r="Q70" s="251"/>
      <c r="R70" s="249"/>
      <c r="S70" s="249"/>
      <c r="T70" s="249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52"/>
      <c r="BL70"/>
      <c r="BM70"/>
      <c r="BN70"/>
      <c r="BO70"/>
      <c r="BP70"/>
    </row>
    <row r="71" spans="1:80" s="383" customFormat="1" ht="12.75">
      <c r="A71" s="343">
        <f t="shared" si="0"/>
        <v>70</v>
      </c>
      <c r="B71" s="205" t="s">
        <v>58</v>
      </c>
      <c r="C71" s="205" t="s">
        <v>108</v>
      </c>
      <c r="D71" s="205" t="s">
        <v>56</v>
      </c>
      <c r="E71" s="205">
        <v>2010</v>
      </c>
      <c r="F71" s="205" t="s">
        <v>204</v>
      </c>
      <c r="G71" s="297">
        <v>7.3</v>
      </c>
      <c r="H71" s="297">
        <v>7.6</v>
      </c>
      <c r="I71" s="297">
        <v>7.4</v>
      </c>
      <c r="J71" s="298">
        <v>6.2</v>
      </c>
      <c r="K71" s="205">
        <v>1.1</v>
      </c>
      <c r="L71" s="205">
        <v>4330</v>
      </c>
      <c r="M71" s="205">
        <v>2009</v>
      </c>
      <c r="N71" s="205">
        <v>2010</v>
      </c>
      <c r="O71" s="205">
        <v>2029</v>
      </c>
      <c r="P71" s="299">
        <v>480</v>
      </c>
      <c r="Q71" s="299">
        <v>110</v>
      </c>
      <c r="R71" s="205">
        <v>70</v>
      </c>
      <c r="S71" s="205">
        <v>890</v>
      </c>
      <c r="T71" s="205">
        <v>3090</v>
      </c>
      <c r="U71" s="205">
        <v>280</v>
      </c>
      <c r="V71" s="364">
        <v>2</v>
      </c>
      <c r="W71" s="364">
        <v>21</v>
      </c>
      <c r="X71" s="364">
        <v>71</v>
      </c>
      <c r="Y71" s="364">
        <v>6</v>
      </c>
      <c r="Z71" s="205">
        <v>1570</v>
      </c>
      <c r="AA71" s="205">
        <v>5180</v>
      </c>
      <c r="AB71" s="205">
        <v>80</v>
      </c>
      <c r="AC71" s="205">
        <v>240</v>
      </c>
      <c r="AD71" s="205">
        <v>1170</v>
      </c>
      <c r="AE71" s="205">
        <v>80</v>
      </c>
      <c r="AF71" s="205">
        <v>130</v>
      </c>
      <c r="AG71" s="205">
        <v>1000</v>
      </c>
      <c r="AH71" s="205">
        <v>3770</v>
      </c>
      <c r="AI71" s="205">
        <v>280</v>
      </c>
      <c r="AJ71" s="299">
        <v>20</v>
      </c>
      <c r="AK71" s="299">
        <v>990</v>
      </c>
      <c r="AL71" s="299">
        <v>160</v>
      </c>
      <c r="AM71" s="299">
        <v>80</v>
      </c>
      <c r="AN71" s="299">
        <v>160</v>
      </c>
      <c r="AO71" s="299">
        <v>80</v>
      </c>
      <c r="AP71" s="299">
        <v>3060</v>
      </c>
      <c r="AQ71" s="299">
        <v>630</v>
      </c>
      <c r="AR71" s="299">
        <v>500</v>
      </c>
      <c r="AS71" s="299">
        <v>500</v>
      </c>
      <c r="AT71" s="299">
        <v>60</v>
      </c>
      <c r="AU71" s="299">
        <v>2500</v>
      </c>
      <c r="AV71" s="299">
        <v>530</v>
      </c>
      <c r="AW71" s="299">
        <v>430</v>
      </c>
      <c r="AX71" s="299">
        <v>460</v>
      </c>
      <c r="AY71" s="205">
        <v>1010</v>
      </c>
      <c r="AZ71" s="205">
        <v>3140</v>
      </c>
      <c r="BA71" s="249">
        <v>2560</v>
      </c>
      <c r="BB71" s="369">
        <v>8</v>
      </c>
      <c r="BC71" s="370">
        <v>3</v>
      </c>
      <c r="BD71" s="370">
        <v>190</v>
      </c>
      <c r="BE71" s="370">
        <v>50</v>
      </c>
      <c r="BF71" s="370">
        <v>80</v>
      </c>
      <c r="BG71" s="370">
        <v>120</v>
      </c>
      <c r="BH71" s="369">
        <v>20</v>
      </c>
      <c r="BI71" s="371">
        <v>200</v>
      </c>
      <c r="BJ71" s="372">
        <v>240</v>
      </c>
      <c r="BK71" s="367">
        <v>190</v>
      </c>
      <c r="BL71" s="290"/>
      <c r="BM71" s="290"/>
      <c r="BN71" s="290"/>
      <c r="BO71" s="290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</row>
    <row r="72" spans="1:80" ht="12.75">
      <c r="A72" s="248">
        <f t="shared" si="0"/>
        <v>71</v>
      </c>
      <c r="B72" s="205" t="s">
        <v>59</v>
      </c>
      <c r="C72" s="205" t="s">
        <v>649</v>
      </c>
      <c r="D72" s="205" t="s">
        <v>56</v>
      </c>
      <c r="E72" s="205">
        <v>2010</v>
      </c>
      <c r="F72" s="205" t="s">
        <v>204</v>
      </c>
      <c r="G72" s="297">
        <v>6.1</v>
      </c>
      <c r="H72" s="297">
        <v>7.4</v>
      </c>
      <c r="I72" s="297">
        <v>7.7</v>
      </c>
      <c r="J72" s="298">
        <v>7.6</v>
      </c>
      <c r="K72" s="205">
        <v>1.2</v>
      </c>
      <c r="L72" s="205">
        <v>1360</v>
      </c>
      <c r="M72" s="205">
        <v>2009</v>
      </c>
      <c r="N72" s="205">
        <v>2010</v>
      </c>
      <c r="O72" s="205">
        <v>2029</v>
      </c>
      <c r="P72" s="299">
        <v>160</v>
      </c>
      <c r="Q72" s="299">
        <v>120</v>
      </c>
      <c r="R72" s="205">
        <v>10</v>
      </c>
      <c r="S72" s="205">
        <v>320</v>
      </c>
      <c r="T72" s="205">
        <v>960</v>
      </c>
      <c r="U72" s="205">
        <v>70</v>
      </c>
      <c r="V72" s="364">
        <v>1</v>
      </c>
      <c r="W72" s="364">
        <v>23</v>
      </c>
      <c r="X72" s="364">
        <v>71</v>
      </c>
      <c r="Y72" s="364">
        <v>5</v>
      </c>
      <c r="Z72" s="205">
        <v>430</v>
      </c>
      <c r="AA72" s="205">
        <v>1860</v>
      </c>
      <c r="AB72" s="205">
        <v>10</v>
      </c>
      <c r="AC72" s="205">
        <v>100</v>
      </c>
      <c r="AD72" s="205">
        <v>310</v>
      </c>
      <c r="AE72" s="205">
        <v>10</v>
      </c>
      <c r="AF72" s="205">
        <v>10</v>
      </c>
      <c r="AG72" s="205">
        <v>380</v>
      </c>
      <c r="AH72" s="205">
        <v>1400</v>
      </c>
      <c r="AI72" s="205">
        <v>70</v>
      </c>
      <c r="AJ72" s="299">
        <v>20</v>
      </c>
      <c r="AK72" s="299">
        <v>250</v>
      </c>
      <c r="AL72" s="299">
        <v>40</v>
      </c>
      <c r="AM72" s="299">
        <v>60</v>
      </c>
      <c r="AN72" s="299">
        <v>40</v>
      </c>
      <c r="AO72" s="299">
        <v>90</v>
      </c>
      <c r="AP72" s="299">
        <v>990</v>
      </c>
      <c r="AQ72" s="299">
        <v>320</v>
      </c>
      <c r="AR72" s="299">
        <v>240</v>
      </c>
      <c r="AS72" s="299">
        <v>140</v>
      </c>
      <c r="AT72" s="299">
        <v>90</v>
      </c>
      <c r="AU72" s="299">
        <v>640</v>
      </c>
      <c r="AV72" s="299">
        <v>230</v>
      </c>
      <c r="AW72" s="299">
        <v>220</v>
      </c>
      <c r="AX72" s="299">
        <v>100</v>
      </c>
      <c r="AY72" s="205">
        <v>270</v>
      </c>
      <c r="AZ72" s="205">
        <v>1080</v>
      </c>
      <c r="BA72" s="249">
        <v>730</v>
      </c>
      <c r="BB72" s="369">
        <v>2</v>
      </c>
      <c r="BC72" s="370">
        <v>4</v>
      </c>
      <c r="BD72" s="370">
        <v>50</v>
      </c>
      <c r="BE72" s="370">
        <v>20</v>
      </c>
      <c r="BF72" s="370">
        <v>40</v>
      </c>
      <c r="BG72" s="370">
        <v>30</v>
      </c>
      <c r="BH72" s="369">
        <v>3</v>
      </c>
      <c r="BI72" s="371">
        <v>70</v>
      </c>
      <c r="BJ72" s="372">
        <v>80</v>
      </c>
      <c r="BK72" s="367">
        <v>50</v>
      </c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 ht="12.75">
      <c r="A73" s="248">
        <f t="shared" si="0"/>
        <v>72</v>
      </c>
      <c r="B73" s="205" t="s">
        <v>60</v>
      </c>
      <c r="C73" s="205" t="s">
        <v>111</v>
      </c>
      <c r="D73" s="205" t="s">
        <v>56</v>
      </c>
      <c r="E73" s="205">
        <v>2010</v>
      </c>
      <c r="F73" s="205" t="s">
        <v>204</v>
      </c>
      <c r="G73" s="297">
        <v>4.3</v>
      </c>
      <c r="H73" s="297">
        <v>6.9</v>
      </c>
      <c r="I73" s="297">
        <v>6.5</v>
      </c>
      <c r="J73" s="298">
        <v>5.3</v>
      </c>
      <c r="K73" s="205">
        <v>1.6</v>
      </c>
      <c r="L73" s="205">
        <v>2500</v>
      </c>
      <c r="M73" s="205">
        <v>2009</v>
      </c>
      <c r="N73" s="205">
        <v>2010</v>
      </c>
      <c r="O73" s="205">
        <v>2029</v>
      </c>
      <c r="P73" s="299">
        <v>370</v>
      </c>
      <c r="Q73" s="299">
        <v>150</v>
      </c>
      <c r="R73" s="205">
        <v>120</v>
      </c>
      <c r="S73" s="205">
        <v>830</v>
      </c>
      <c r="T73" s="205">
        <v>1540</v>
      </c>
      <c r="U73" s="205">
        <v>10</v>
      </c>
      <c r="V73" s="364">
        <v>5</v>
      </c>
      <c r="W73" s="364">
        <v>33</v>
      </c>
      <c r="X73" s="364">
        <v>62</v>
      </c>
      <c r="Y73" s="364" t="s">
        <v>669</v>
      </c>
      <c r="Z73" s="205">
        <v>980</v>
      </c>
      <c r="AA73" s="205">
        <v>2770</v>
      </c>
      <c r="AB73" s="205">
        <v>130</v>
      </c>
      <c r="AC73" s="205">
        <v>310</v>
      </c>
      <c r="AD73" s="205">
        <v>530</v>
      </c>
      <c r="AE73" s="205">
        <v>10</v>
      </c>
      <c r="AF73" s="205">
        <v>160</v>
      </c>
      <c r="AG73" s="205">
        <v>880</v>
      </c>
      <c r="AH73" s="205">
        <v>1720</v>
      </c>
      <c r="AI73" s="205">
        <v>10</v>
      </c>
      <c r="AJ73" s="299">
        <v>60</v>
      </c>
      <c r="AK73" s="299">
        <v>420</v>
      </c>
      <c r="AL73" s="299">
        <v>50</v>
      </c>
      <c r="AM73" s="299">
        <v>60</v>
      </c>
      <c r="AN73" s="299">
        <v>250</v>
      </c>
      <c r="AO73" s="299">
        <v>30</v>
      </c>
      <c r="AP73" s="299">
        <v>1180</v>
      </c>
      <c r="AQ73" s="299">
        <v>510</v>
      </c>
      <c r="AR73" s="299">
        <v>260</v>
      </c>
      <c r="AS73" s="299">
        <v>620</v>
      </c>
      <c r="AT73" s="299">
        <v>20</v>
      </c>
      <c r="AU73" s="299">
        <v>1060</v>
      </c>
      <c r="AV73" s="299">
        <v>460</v>
      </c>
      <c r="AW73" s="299">
        <v>240</v>
      </c>
      <c r="AX73" s="299">
        <v>590</v>
      </c>
      <c r="AY73" s="205">
        <v>480</v>
      </c>
      <c r="AZ73" s="205">
        <v>1210</v>
      </c>
      <c r="BA73" s="249">
        <v>1080</v>
      </c>
      <c r="BB73" s="369">
        <v>0</v>
      </c>
      <c r="BC73" s="370">
        <v>1</v>
      </c>
      <c r="BD73" s="370">
        <v>90</v>
      </c>
      <c r="BE73" s="370">
        <v>50</v>
      </c>
      <c r="BF73" s="370">
        <v>50</v>
      </c>
      <c r="BG73" s="370">
        <v>150</v>
      </c>
      <c r="BH73" s="369">
        <v>40</v>
      </c>
      <c r="BI73" s="371">
        <v>200</v>
      </c>
      <c r="BJ73" s="372">
        <v>140</v>
      </c>
      <c r="BK73" s="367">
        <v>90</v>
      </c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 ht="12.75">
      <c r="A74" s="248">
        <f t="shared" si="0"/>
        <v>73</v>
      </c>
      <c r="B74" s="205" t="s">
        <v>61</v>
      </c>
      <c r="C74" s="205" t="s">
        <v>110</v>
      </c>
      <c r="D74" s="205" t="s">
        <v>56</v>
      </c>
      <c r="E74" s="205">
        <v>2010</v>
      </c>
      <c r="F74" s="205" t="s">
        <v>204</v>
      </c>
      <c r="G74" s="297">
        <v>1.4</v>
      </c>
      <c r="H74" s="297">
        <v>4</v>
      </c>
      <c r="I74" s="297">
        <v>6.3</v>
      </c>
      <c r="J74" s="298">
        <v>3.7</v>
      </c>
      <c r="K74" s="205">
        <v>2.9</v>
      </c>
      <c r="L74" s="205">
        <v>1210</v>
      </c>
      <c r="M74" s="205">
        <v>2009</v>
      </c>
      <c r="N74" s="205">
        <v>2010</v>
      </c>
      <c r="O74" s="205">
        <v>2029</v>
      </c>
      <c r="P74" s="299">
        <v>190</v>
      </c>
      <c r="Q74" s="299">
        <v>160</v>
      </c>
      <c r="R74" s="205">
        <v>70</v>
      </c>
      <c r="S74" s="205">
        <v>540</v>
      </c>
      <c r="T74" s="205">
        <v>500</v>
      </c>
      <c r="U74" s="205">
        <v>100</v>
      </c>
      <c r="V74" s="364">
        <v>6</v>
      </c>
      <c r="W74" s="364">
        <v>45</v>
      </c>
      <c r="X74" s="364">
        <v>41</v>
      </c>
      <c r="Y74" s="364">
        <v>8</v>
      </c>
      <c r="Z74" s="205">
        <v>710</v>
      </c>
      <c r="AA74" s="205">
        <v>1470</v>
      </c>
      <c r="AB74" s="205">
        <v>120</v>
      </c>
      <c r="AC74" s="205">
        <v>300</v>
      </c>
      <c r="AD74" s="205">
        <v>270</v>
      </c>
      <c r="AE74" s="205">
        <v>20</v>
      </c>
      <c r="AF74" s="205">
        <v>100</v>
      </c>
      <c r="AG74" s="205">
        <v>640</v>
      </c>
      <c r="AH74" s="205">
        <v>620</v>
      </c>
      <c r="AI74" s="205">
        <v>110</v>
      </c>
      <c r="AJ74" s="299">
        <v>30</v>
      </c>
      <c r="AK74" s="299">
        <v>210</v>
      </c>
      <c r="AL74" s="299">
        <v>30</v>
      </c>
      <c r="AM74" s="299">
        <v>150</v>
      </c>
      <c r="AN74" s="299">
        <v>150</v>
      </c>
      <c r="AO74" s="299">
        <v>0</v>
      </c>
      <c r="AP74" s="299">
        <v>490</v>
      </c>
      <c r="AQ74" s="299">
        <v>130</v>
      </c>
      <c r="AR74" s="299">
        <v>340</v>
      </c>
      <c r="AS74" s="299">
        <v>300</v>
      </c>
      <c r="AT74" s="299">
        <v>0</v>
      </c>
      <c r="AU74" s="299">
        <v>390</v>
      </c>
      <c r="AV74" s="299">
        <v>110</v>
      </c>
      <c r="AW74" s="299">
        <v>300</v>
      </c>
      <c r="AX74" s="299">
        <v>240</v>
      </c>
      <c r="AY74" s="205">
        <v>240</v>
      </c>
      <c r="AZ74" s="205">
        <v>490</v>
      </c>
      <c r="BA74" s="249">
        <v>390</v>
      </c>
      <c r="BB74" s="369">
        <v>4</v>
      </c>
      <c r="BC74" s="370">
        <v>0</v>
      </c>
      <c r="BD74" s="370">
        <v>30</v>
      </c>
      <c r="BE74" s="370">
        <v>10</v>
      </c>
      <c r="BF74" s="370">
        <v>60</v>
      </c>
      <c r="BG74" s="370">
        <v>70</v>
      </c>
      <c r="BH74" s="369">
        <v>20</v>
      </c>
      <c r="BI74" s="371">
        <v>130</v>
      </c>
      <c r="BJ74" s="372">
        <v>40</v>
      </c>
      <c r="BK74" s="367">
        <v>30</v>
      </c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 ht="12.75">
      <c r="A75" s="248">
        <f t="shared" si="0"/>
        <v>74</v>
      </c>
      <c r="B75" s="205" t="s">
        <v>76</v>
      </c>
      <c r="C75" s="205" t="s">
        <v>109</v>
      </c>
      <c r="D75" s="205" t="s">
        <v>56</v>
      </c>
      <c r="E75" s="205">
        <v>2010</v>
      </c>
      <c r="F75" s="205" t="s">
        <v>204</v>
      </c>
      <c r="G75" s="297">
        <v>2.7</v>
      </c>
      <c r="H75" s="297">
        <v>6</v>
      </c>
      <c r="I75" s="297">
        <v>6.2</v>
      </c>
      <c r="J75" s="298">
        <v>4</v>
      </c>
      <c r="K75" s="205">
        <v>2.2</v>
      </c>
      <c r="L75" s="205">
        <v>920</v>
      </c>
      <c r="M75" s="205">
        <v>2009</v>
      </c>
      <c r="N75" s="205">
        <v>2010</v>
      </c>
      <c r="O75" s="205">
        <v>2029</v>
      </c>
      <c r="P75" s="299">
        <v>120</v>
      </c>
      <c r="Q75" s="299">
        <v>130</v>
      </c>
      <c r="R75" s="205">
        <v>30</v>
      </c>
      <c r="S75" s="205">
        <v>260</v>
      </c>
      <c r="T75" s="205">
        <v>620</v>
      </c>
      <c r="U75" s="205">
        <v>10</v>
      </c>
      <c r="V75" s="364">
        <v>3</v>
      </c>
      <c r="W75" s="364">
        <v>28</v>
      </c>
      <c r="X75" s="364">
        <v>68</v>
      </c>
      <c r="Y75" s="364">
        <v>1</v>
      </c>
      <c r="Z75" s="205">
        <v>420</v>
      </c>
      <c r="AA75" s="205">
        <v>920</v>
      </c>
      <c r="AB75" s="205">
        <v>40</v>
      </c>
      <c r="AC75" s="205">
        <v>80</v>
      </c>
      <c r="AD75" s="205">
        <v>280</v>
      </c>
      <c r="AE75" s="205">
        <v>20</v>
      </c>
      <c r="AF75" s="205">
        <v>40</v>
      </c>
      <c r="AG75" s="205">
        <v>250</v>
      </c>
      <c r="AH75" s="205">
        <v>620</v>
      </c>
      <c r="AI75" s="205">
        <v>10</v>
      </c>
      <c r="AJ75" s="299">
        <v>60</v>
      </c>
      <c r="AK75" s="299">
        <v>210</v>
      </c>
      <c r="AL75" s="299">
        <v>10</v>
      </c>
      <c r="AM75" s="299">
        <v>50</v>
      </c>
      <c r="AN75" s="299">
        <v>30</v>
      </c>
      <c r="AO75" s="299">
        <v>60</v>
      </c>
      <c r="AP75" s="299">
        <v>510</v>
      </c>
      <c r="AQ75" s="299">
        <v>50</v>
      </c>
      <c r="AR75" s="299">
        <v>180</v>
      </c>
      <c r="AS75" s="299">
        <v>70</v>
      </c>
      <c r="AT75" s="299">
        <v>50</v>
      </c>
      <c r="AU75" s="299">
        <v>510</v>
      </c>
      <c r="AV75" s="299">
        <v>60</v>
      </c>
      <c r="AW75" s="299">
        <v>190</v>
      </c>
      <c r="AX75" s="299">
        <v>70</v>
      </c>
      <c r="AY75" s="205">
        <v>270</v>
      </c>
      <c r="AZ75" s="205">
        <v>570</v>
      </c>
      <c r="BA75" s="249">
        <v>560</v>
      </c>
      <c r="BB75" s="369">
        <v>0</v>
      </c>
      <c r="BC75" s="370">
        <v>2</v>
      </c>
      <c r="BD75" s="370">
        <v>40</v>
      </c>
      <c r="BE75" s="370">
        <v>6</v>
      </c>
      <c r="BF75" s="370">
        <v>40</v>
      </c>
      <c r="BG75" s="370">
        <v>20</v>
      </c>
      <c r="BH75" s="369">
        <v>9</v>
      </c>
      <c r="BI75" s="371">
        <v>60</v>
      </c>
      <c r="BJ75" s="372">
        <v>50</v>
      </c>
      <c r="BK75" s="367">
        <v>40</v>
      </c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 ht="12.75">
      <c r="A76" s="248">
        <f t="shared" si="0"/>
        <v>75</v>
      </c>
      <c r="B76" s="205" t="s">
        <v>62</v>
      </c>
      <c r="C76" s="205" t="s">
        <v>209</v>
      </c>
      <c r="D76" s="205" t="s">
        <v>101</v>
      </c>
      <c r="E76" s="205">
        <v>2010</v>
      </c>
      <c r="F76" s="205" t="s">
        <v>204</v>
      </c>
      <c r="G76" s="297">
        <v>2.7</v>
      </c>
      <c r="H76" s="297">
        <v>3.3</v>
      </c>
      <c r="I76" s="297">
        <v>5</v>
      </c>
      <c r="J76" s="298">
        <v>1.5</v>
      </c>
      <c r="K76" s="205">
        <v>1.2</v>
      </c>
      <c r="L76" s="205">
        <v>6590</v>
      </c>
      <c r="M76" s="205">
        <v>2009</v>
      </c>
      <c r="N76" s="205">
        <v>2010</v>
      </c>
      <c r="O76" s="205">
        <v>2029</v>
      </c>
      <c r="P76" s="299">
        <v>640</v>
      </c>
      <c r="Q76" s="299">
        <v>100</v>
      </c>
      <c r="R76" s="205">
        <v>40</v>
      </c>
      <c r="S76" s="205">
        <v>1060</v>
      </c>
      <c r="T76" s="205">
        <v>4790</v>
      </c>
      <c r="U76" s="205">
        <v>700</v>
      </c>
      <c r="V76" s="364">
        <v>1</v>
      </c>
      <c r="W76" s="364">
        <v>16</v>
      </c>
      <c r="X76" s="364">
        <v>72</v>
      </c>
      <c r="Y76" s="364">
        <v>11</v>
      </c>
      <c r="Z76" s="205">
        <v>6100</v>
      </c>
      <c r="AA76" s="205">
        <v>8230</v>
      </c>
      <c r="AB76" s="205">
        <v>110</v>
      </c>
      <c r="AC76" s="205">
        <v>890</v>
      </c>
      <c r="AD76" s="205">
        <v>3350</v>
      </c>
      <c r="AE76" s="205">
        <v>1750</v>
      </c>
      <c r="AF76" s="205">
        <v>100</v>
      </c>
      <c r="AG76" s="205">
        <v>1530</v>
      </c>
      <c r="AH76" s="205">
        <v>5920</v>
      </c>
      <c r="AI76" s="205">
        <v>680</v>
      </c>
      <c r="AJ76" s="299">
        <v>340</v>
      </c>
      <c r="AK76" s="299">
        <v>2290</v>
      </c>
      <c r="AL76" s="299">
        <v>720</v>
      </c>
      <c r="AM76" s="299">
        <v>620</v>
      </c>
      <c r="AN76" s="299">
        <v>270</v>
      </c>
      <c r="AO76" s="299">
        <v>880</v>
      </c>
      <c r="AP76" s="299">
        <v>4020</v>
      </c>
      <c r="AQ76" s="299">
        <v>1020</v>
      </c>
      <c r="AR76" s="299">
        <v>970</v>
      </c>
      <c r="AS76" s="299">
        <v>560</v>
      </c>
      <c r="AT76" s="299">
        <v>850</v>
      </c>
      <c r="AU76" s="299">
        <v>3310</v>
      </c>
      <c r="AV76" s="299">
        <v>630</v>
      </c>
      <c r="AW76" s="299">
        <v>670</v>
      </c>
      <c r="AX76" s="299">
        <v>390</v>
      </c>
      <c r="AY76" s="205">
        <v>2630</v>
      </c>
      <c r="AZ76" s="205">
        <v>4900</v>
      </c>
      <c r="BA76" s="249">
        <v>4160</v>
      </c>
      <c r="BB76" s="369">
        <v>20</v>
      </c>
      <c r="BC76" s="370">
        <v>40</v>
      </c>
      <c r="BD76" s="370">
        <v>270</v>
      </c>
      <c r="BE76" s="370">
        <v>60</v>
      </c>
      <c r="BF76" s="370">
        <v>130</v>
      </c>
      <c r="BG76" s="370">
        <v>100</v>
      </c>
      <c r="BH76" s="369">
        <v>10</v>
      </c>
      <c r="BI76" s="371">
        <v>230</v>
      </c>
      <c r="BJ76" s="372">
        <v>370</v>
      </c>
      <c r="BK76" s="367">
        <v>310</v>
      </c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 ht="12.75">
      <c r="A77" s="248">
        <f t="shared" si="0"/>
        <v>76</v>
      </c>
      <c r="B77" s="205" t="s">
        <v>63</v>
      </c>
      <c r="C77" s="205" t="s">
        <v>210</v>
      </c>
      <c r="D77" s="205" t="s">
        <v>101</v>
      </c>
      <c r="E77" s="205">
        <v>2010</v>
      </c>
      <c r="F77" s="205" t="s">
        <v>204</v>
      </c>
      <c r="G77" s="297">
        <v>2.7</v>
      </c>
      <c r="H77" s="297">
        <v>4.4</v>
      </c>
      <c r="I77" s="297">
        <v>5</v>
      </c>
      <c r="J77" s="298">
        <v>2.3</v>
      </c>
      <c r="K77" s="205">
        <v>1.6</v>
      </c>
      <c r="L77" s="205">
        <v>610</v>
      </c>
      <c r="M77" s="205">
        <v>2009</v>
      </c>
      <c r="N77" s="205">
        <v>2010</v>
      </c>
      <c r="O77" s="205">
        <v>2029</v>
      </c>
      <c r="P77" s="299">
        <v>60</v>
      </c>
      <c r="Q77" s="299">
        <v>100</v>
      </c>
      <c r="R77" s="205">
        <v>0</v>
      </c>
      <c r="S77" s="205">
        <v>120</v>
      </c>
      <c r="T77" s="205">
        <v>390</v>
      </c>
      <c r="U77" s="205">
        <v>100</v>
      </c>
      <c r="V77" s="364">
        <v>0</v>
      </c>
      <c r="W77" s="364">
        <v>21</v>
      </c>
      <c r="X77" s="364">
        <v>63</v>
      </c>
      <c r="Y77" s="364">
        <v>16</v>
      </c>
      <c r="Z77" s="205">
        <v>490</v>
      </c>
      <c r="AA77" s="205">
        <v>770</v>
      </c>
      <c r="AB77" s="205">
        <v>0</v>
      </c>
      <c r="AC77" s="205">
        <v>80</v>
      </c>
      <c r="AD77" s="205">
        <v>320</v>
      </c>
      <c r="AE77" s="205">
        <v>90</v>
      </c>
      <c r="AF77" s="205">
        <v>0</v>
      </c>
      <c r="AG77" s="205">
        <v>180</v>
      </c>
      <c r="AH77" s="205">
        <v>490</v>
      </c>
      <c r="AI77" s="205">
        <v>100</v>
      </c>
      <c r="AJ77" s="299">
        <v>80</v>
      </c>
      <c r="AK77" s="299">
        <v>220</v>
      </c>
      <c r="AL77" s="299">
        <v>20</v>
      </c>
      <c r="AM77" s="299">
        <v>50</v>
      </c>
      <c r="AN77" s="299">
        <v>30</v>
      </c>
      <c r="AO77" s="299">
        <v>60</v>
      </c>
      <c r="AP77" s="299">
        <v>410</v>
      </c>
      <c r="AQ77" s="299">
        <v>20</v>
      </c>
      <c r="AR77" s="299">
        <v>140</v>
      </c>
      <c r="AS77" s="299">
        <v>40</v>
      </c>
      <c r="AT77" s="299">
        <v>50</v>
      </c>
      <c r="AU77" s="299">
        <v>340</v>
      </c>
      <c r="AV77" s="299">
        <v>0</v>
      </c>
      <c r="AW77" s="299">
        <v>100</v>
      </c>
      <c r="AX77" s="299">
        <v>20</v>
      </c>
      <c r="AY77" s="205">
        <v>300</v>
      </c>
      <c r="AZ77" s="205">
        <v>470</v>
      </c>
      <c r="BA77" s="249">
        <v>390</v>
      </c>
      <c r="BB77" s="369">
        <v>3</v>
      </c>
      <c r="BC77" s="370">
        <v>2</v>
      </c>
      <c r="BD77" s="370">
        <v>30</v>
      </c>
      <c r="BE77" s="370">
        <v>0</v>
      </c>
      <c r="BF77" s="370">
        <v>20</v>
      </c>
      <c r="BG77" s="370">
        <v>7</v>
      </c>
      <c r="BH77" s="369">
        <v>0</v>
      </c>
      <c r="BI77" s="371">
        <v>30</v>
      </c>
      <c r="BJ77" s="372">
        <v>30</v>
      </c>
      <c r="BK77" s="367">
        <v>30</v>
      </c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 ht="12.75">
      <c r="A78" s="248">
        <f t="shared" si="0"/>
        <v>77</v>
      </c>
      <c r="B78" s="205" t="s">
        <v>64</v>
      </c>
      <c r="C78" s="205" t="s">
        <v>102</v>
      </c>
      <c r="D78" s="205" t="s">
        <v>102</v>
      </c>
      <c r="E78" s="205">
        <v>2010</v>
      </c>
      <c r="F78" s="205" t="s">
        <v>204</v>
      </c>
      <c r="G78" s="297">
        <v>1.9</v>
      </c>
      <c r="H78" s="297">
        <v>4.4</v>
      </c>
      <c r="I78" s="297">
        <v>5</v>
      </c>
      <c r="J78" s="298">
        <v>2.8</v>
      </c>
      <c r="K78" s="205">
        <v>2.3</v>
      </c>
      <c r="L78" s="205">
        <v>7190</v>
      </c>
      <c r="M78" s="205">
        <v>2009</v>
      </c>
      <c r="N78" s="205">
        <v>2010</v>
      </c>
      <c r="O78" s="205">
        <v>2029</v>
      </c>
      <c r="P78" s="299">
        <v>800</v>
      </c>
      <c r="Q78" s="299">
        <v>110</v>
      </c>
      <c r="R78" s="205">
        <v>160</v>
      </c>
      <c r="S78" s="205">
        <v>1340</v>
      </c>
      <c r="T78" s="205">
        <v>5380</v>
      </c>
      <c r="U78" s="205">
        <v>310</v>
      </c>
      <c r="V78" s="364">
        <v>2</v>
      </c>
      <c r="W78" s="364">
        <v>19</v>
      </c>
      <c r="X78" s="364">
        <v>75</v>
      </c>
      <c r="Y78" s="364">
        <v>4</v>
      </c>
      <c r="Z78" s="205">
        <v>4300</v>
      </c>
      <c r="AA78" s="205">
        <v>7460</v>
      </c>
      <c r="AB78" s="205">
        <v>170</v>
      </c>
      <c r="AC78" s="205">
        <v>650</v>
      </c>
      <c r="AD78" s="205">
        <v>2980</v>
      </c>
      <c r="AE78" s="205">
        <v>500</v>
      </c>
      <c r="AF78" s="205">
        <v>200</v>
      </c>
      <c r="AG78" s="205">
        <v>1470</v>
      </c>
      <c r="AH78" s="205">
        <v>5470</v>
      </c>
      <c r="AI78" s="205">
        <v>320</v>
      </c>
      <c r="AJ78" s="299">
        <v>370</v>
      </c>
      <c r="AK78" s="299">
        <v>2180</v>
      </c>
      <c r="AL78" s="299">
        <v>430</v>
      </c>
      <c r="AM78" s="299">
        <v>260</v>
      </c>
      <c r="AN78" s="299">
        <v>390</v>
      </c>
      <c r="AO78" s="299">
        <v>570</v>
      </c>
      <c r="AP78" s="299">
        <v>4220</v>
      </c>
      <c r="AQ78" s="299">
        <v>680</v>
      </c>
      <c r="AR78" s="299">
        <v>740</v>
      </c>
      <c r="AS78" s="299">
        <v>730</v>
      </c>
      <c r="AT78" s="299">
        <v>570</v>
      </c>
      <c r="AU78" s="299">
        <v>4190</v>
      </c>
      <c r="AV78" s="299">
        <v>620</v>
      </c>
      <c r="AW78" s="299">
        <v>660</v>
      </c>
      <c r="AX78" s="299">
        <v>680</v>
      </c>
      <c r="AY78" s="205">
        <v>2550</v>
      </c>
      <c r="AZ78" s="205">
        <v>4790</v>
      </c>
      <c r="BA78" s="249">
        <v>4760</v>
      </c>
      <c r="BB78" s="373">
        <v>10</v>
      </c>
      <c r="BC78" s="374">
        <v>30</v>
      </c>
      <c r="BD78" s="374">
        <v>350</v>
      </c>
      <c r="BE78" s="374">
        <v>60</v>
      </c>
      <c r="BF78" s="374">
        <v>130</v>
      </c>
      <c r="BG78" s="374">
        <v>180</v>
      </c>
      <c r="BH78" s="373">
        <v>50</v>
      </c>
      <c r="BI78" s="375">
        <v>310</v>
      </c>
      <c r="BJ78" s="376">
        <v>430</v>
      </c>
      <c r="BK78" s="367">
        <v>380</v>
      </c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 ht="12.75">
      <c r="A79" s="248">
        <f t="shared" si="0"/>
        <v>78</v>
      </c>
      <c r="B79" s="205" t="s">
        <v>65</v>
      </c>
      <c r="C79" s="205" t="s">
        <v>163</v>
      </c>
      <c r="D79" s="205" t="s">
        <v>104</v>
      </c>
      <c r="E79" s="205">
        <v>2010</v>
      </c>
      <c r="F79" s="205" t="s">
        <v>204</v>
      </c>
      <c r="G79" s="297">
        <v>4</v>
      </c>
      <c r="H79" s="297">
        <v>7.4</v>
      </c>
      <c r="I79" s="297">
        <v>6.8</v>
      </c>
      <c r="J79" s="298">
        <v>4.8</v>
      </c>
      <c r="K79" s="205">
        <v>1.9</v>
      </c>
      <c r="L79" s="205">
        <v>1450</v>
      </c>
      <c r="M79" s="205">
        <v>2009</v>
      </c>
      <c r="N79" s="205">
        <v>2010</v>
      </c>
      <c r="O79" s="205">
        <v>2029</v>
      </c>
      <c r="P79" s="299">
        <v>150</v>
      </c>
      <c r="Q79" s="299">
        <v>100</v>
      </c>
      <c r="R79" s="205">
        <v>10</v>
      </c>
      <c r="S79" s="205">
        <v>290</v>
      </c>
      <c r="T79" s="205">
        <v>1140</v>
      </c>
      <c r="U79" s="205">
        <v>10</v>
      </c>
      <c r="V79" s="364">
        <v>1</v>
      </c>
      <c r="W79" s="364">
        <v>20</v>
      </c>
      <c r="X79" s="364">
        <v>79</v>
      </c>
      <c r="Y79" s="364" t="s">
        <v>669</v>
      </c>
      <c r="Z79" s="205">
        <v>710</v>
      </c>
      <c r="AA79" s="205">
        <v>1810</v>
      </c>
      <c r="AB79" s="205">
        <v>0</v>
      </c>
      <c r="AC79" s="205">
        <v>100</v>
      </c>
      <c r="AD79" s="205">
        <v>580</v>
      </c>
      <c r="AE79" s="205">
        <v>30</v>
      </c>
      <c r="AF79" s="205">
        <v>10</v>
      </c>
      <c r="AG79" s="205">
        <v>300</v>
      </c>
      <c r="AH79" s="205">
        <v>1450</v>
      </c>
      <c r="AI79" s="205">
        <v>50</v>
      </c>
      <c r="AJ79" s="299">
        <v>170</v>
      </c>
      <c r="AK79" s="299">
        <v>390</v>
      </c>
      <c r="AL79" s="299">
        <v>20</v>
      </c>
      <c r="AM79" s="299">
        <v>80</v>
      </c>
      <c r="AN79" s="299">
        <v>20</v>
      </c>
      <c r="AO79" s="299">
        <v>200</v>
      </c>
      <c r="AP79" s="299">
        <v>1150</v>
      </c>
      <c r="AQ79" s="299">
        <v>100</v>
      </c>
      <c r="AR79" s="299">
        <v>210</v>
      </c>
      <c r="AS79" s="299">
        <v>90</v>
      </c>
      <c r="AT79" s="299">
        <v>190</v>
      </c>
      <c r="AU79" s="299">
        <v>870</v>
      </c>
      <c r="AV79" s="299">
        <v>80</v>
      </c>
      <c r="AW79" s="299">
        <v>200</v>
      </c>
      <c r="AX79" s="299">
        <v>90</v>
      </c>
      <c r="AY79" s="205">
        <v>560</v>
      </c>
      <c r="AZ79" s="205">
        <v>1350</v>
      </c>
      <c r="BA79" s="249">
        <v>1060</v>
      </c>
      <c r="BB79" s="369">
        <v>0</v>
      </c>
      <c r="BC79" s="370">
        <v>8</v>
      </c>
      <c r="BD79" s="370">
        <v>70</v>
      </c>
      <c r="BE79" s="370">
        <v>10</v>
      </c>
      <c r="BF79" s="370">
        <v>40</v>
      </c>
      <c r="BG79" s="370">
        <v>20</v>
      </c>
      <c r="BH79" s="369">
        <v>4</v>
      </c>
      <c r="BI79" s="371">
        <v>60</v>
      </c>
      <c r="BJ79" s="372">
        <v>80</v>
      </c>
      <c r="BK79" s="367">
        <v>80</v>
      </c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 ht="12.75">
      <c r="A80" s="248">
        <f t="shared" si="0"/>
        <v>79</v>
      </c>
      <c r="B80" s="205" t="s">
        <v>66</v>
      </c>
      <c r="C80" s="205" t="s">
        <v>153</v>
      </c>
      <c r="D80" s="205" t="s">
        <v>104</v>
      </c>
      <c r="E80" s="205">
        <v>2010</v>
      </c>
      <c r="F80" s="205" t="s">
        <v>204</v>
      </c>
      <c r="G80" s="297">
        <v>3.9</v>
      </c>
      <c r="H80" s="297">
        <v>5.9</v>
      </c>
      <c r="I80" s="297">
        <v>6.5</v>
      </c>
      <c r="J80" s="298">
        <v>4.2</v>
      </c>
      <c r="K80" s="205">
        <v>1.5</v>
      </c>
      <c r="L80" s="205">
        <v>730</v>
      </c>
      <c r="M80" s="205">
        <v>2009</v>
      </c>
      <c r="N80" s="205">
        <v>2010</v>
      </c>
      <c r="O80" s="205">
        <v>2029</v>
      </c>
      <c r="P80" s="299">
        <v>60</v>
      </c>
      <c r="Q80" s="299">
        <v>80</v>
      </c>
      <c r="R80" s="205">
        <v>0</v>
      </c>
      <c r="S80" s="205">
        <v>60</v>
      </c>
      <c r="T80" s="205">
        <v>660</v>
      </c>
      <c r="U80" s="205">
        <v>10</v>
      </c>
      <c r="V80" s="364">
        <v>0</v>
      </c>
      <c r="W80" s="364">
        <v>7</v>
      </c>
      <c r="X80" s="364">
        <v>91</v>
      </c>
      <c r="Y80" s="364">
        <v>2</v>
      </c>
      <c r="Z80" s="205">
        <v>420</v>
      </c>
      <c r="AA80" s="205">
        <v>960</v>
      </c>
      <c r="AB80" s="205">
        <v>0</v>
      </c>
      <c r="AC80" s="205">
        <v>30</v>
      </c>
      <c r="AD80" s="205">
        <v>330</v>
      </c>
      <c r="AE80" s="205">
        <v>60</v>
      </c>
      <c r="AF80" s="205">
        <v>0</v>
      </c>
      <c r="AG80" s="205">
        <v>60</v>
      </c>
      <c r="AH80" s="205">
        <v>850</v>
      </c>
      <c r="AI80" s="205">
        <v>50</v>
      </c>
      <c r="AJ80" s="299">
        <v>110</v>
      </c>
      <c r="AK80" s="299">
        <v>210</v>
      </c>
      <c r="AL80" s="299">
        <v>10</v>
      </c>
      <c r="AM80" s="299">
        <v>20</v>
      </c>
      <c r="AN80" s="299">
        <v>10</v>
      </c>
      <c r="AO80" s="299">
        <v>200</v>
      </c>
      <c r="AP80" s="299">
        <v>550</v>
      </c>
      <c r="AQ80" s="299">
        <v>100</v>
      </c>
      <c r="AR80" s="299">
        <v>50</v>
      </c>
      <c r="AS80" s="299">
        <v>10</v>
      </c>
      <c r="AT80" s="299">
        <v>160</v>
      </c>
      <c r="AU80" s="299">
        <v>420</v>
      </c>
      <c r="AV80" s="299">
        <v>80</v>
      </c>
      <c r="AW80" s="299">
        <v>50</v>
      </c>
      <c r="AX80" s="299">
        <v>10</v>
      </c>
      <c r="AY80" s="205">
        <v>320</v>
      </c>
      <c r="AZ80" s="205">
        <v>750</v>
      </c>
      <c r="BA80" s="249">
        <v>580</v>
      </c>
      <c r="BB80" s="369">
        <v>1</v>
      </c>
      <c r="BC80" s="370">
        <v>8</v>
      </c>
      <c r="BD80" s="370">
        <v>30</v>
      </c>
      <c r="BE80" s="370">
        <v>8</v>
      </c>
      <c r="BF80" s="370">
        <v>9</v>
      </c>
      <c r="BG80" s="370">
        <v>1</v>
      </c>
      <c r="BH80" s="369">
        <v>0</v>
      </c>
      <c r="BI80" s="371">
        <v>10</v>
      </c>
      <c r="BJ80" s="372">
        <v>50</v>
      </c>
      <c r="BK80" s="367">
        <v>40</v>
      </c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 ht="12.75">
      <c r="A81" s="248">
        <f t="shared" si="0"/>
        <v>80</v>
      </c>
      <c r="B81" s="205" t="s">
        <v>67</v>
      </c>
      <c r="C81" s="205" t="s">
        <v>103</v>
      </c>
      <c r="D81" s="205" t="s">
        <v>211</v>
      </c>
      <c r="E81" s="205">
        <v>2010</v>
      </c>
      <c r="F81" s="205" t="s">
        <v>204</v>
      </c>
      <c r="G81" s="297">
        <v>4</v>
      </c>
      <c r="H81" s="297">
        <v>7.1</v>
      </c>
      <c r="I81" s="297">
        <v>6.8</v>
      </c>
      <c r="J81" s="298">
        <v>4.8</v>
      </c>
      <c r="K81" s="205">
        <v>1.8</v>
      </c>
      <c r="L81" s="205">
        <v>2340</v>
      </c>
      <c r="M81" s="205">
        <v>2009</v>
      </c>
      <c r="N81" s="205">
        <v>2010</v>
      </c>
      <c r="O81" s="205">
        <v>2029</v>
      </c>
      <c r="P81" s="299">
        <v>390</v>
      </c>
      <c r="Q81" s="299">
        <v>170</v>
      </c>
      <c r="R81" s="205">
        <v>170</v>
      </c>
      <c r="S81" s="205">
        <v>1000</v>
      </c>
      <c r="T81" s="205">
        <v>1100</v>
      </c>
      <c r="U81" s="205">
        <v>70</v>
      </c>
      <c r="V81" s="364">
        <v>7</v>
      </c>
      <c r="W81" s="364">
        <v>43</v>
      </c>
      <c r="X81" s="364">
        <v>47</v>
      </c>
      <c r="Y81" s="364">
        <v>3</v>
      </c>
      <c r="Z81" s="205">
        <v>950</v>
      </c>
      <c r="AA81" s="205">
        <v>2440</v>
      </c>
      <c r="AB81" s="205">
        <v>70</v>
      </c>
      <c r="AC81" s="205">
        <v>400</v>
      </c>
      <c r="AD81" s="205">
        <v>430</v>
      </c>
      <c r="AE81" s="205">
        <v>50</v>
      </c>
      <c r="AF81" s="205">
        <v>160</v>
      </c>
      <c r="AG81" s="205">
        <v>1020</v>
      </c>
      <c r="AH81" s="205">
        <v>1180</v>
      </c>
      <c r="AI81" s="205">
        <v>80</v>
      </c>
      <c r="AJ81" s="299">
        <v>60</v>
      </c>
      <c r="AK81" s="299">
        <v>320</v>
      </c>
      <c r="AL81" s="299">
        <v>50</v>
      </c>
      <c r="AM81" s="299">
        <v>190</v>
      </c>
      <c r="AN81" s="299">
        <v>210</v>
      </c>
      <c r="AO81" s="299">
        <v>110</v>
      </c>
      <c r="AP81" s="299">
        <v>930</v>
      </c>
      <c r="AQ81" s="299">
        <v>140</v>
      </c>
      <c r="AR81" s="299">
        <v>390</v>
      </c>
      <c r="AS81" s="299">
        <v>630</v>
      </c>
      <c r="AT81" s="299">
        <v>100</v>
      </c>
      <c r="AU81" s="299">
        <v>880</v>
      </c>
      <c r="AV81" s="299">
        <v>120</v>
      </c>
      <c r="AW81" s="299">
        <v>330</v>
      </c>
      <c r="AX81" s="299">
        <v>670</v>
      </c>
      <c r="AY81" s="205">
        <v>380</v>
      </c>
      <c r="AZ81" s="205">
        <v>1040</v>
      </c>
      <c r="BA81" s="249">
        <v>980</v>
      </c>
      <c r="BB81" s="373">
        <v>2.1907112936021504</v>
      </c>
      <c r="BC81" s="374">
        <v>4.7926410469966045</v>
      </c>
      <c r="BD81" s="374">
        <v>70</v>
      </c>
      <c r="BE81" s="374">
        <v>10</v>
      </c>
      <c r="BF81" s="374">
        <v>70</v>
      </c>
      <c r="BG81" s="374">
        <v>180</v>
      </c>
      <c r="BH81" s="373">
        <v>50</v>
      </c>
      <c r="BI81" s="375">
        <v>250</v>
      </c>
      <c r="BJ81" s="376">
        <v>90</v>
      </c>
      <c r="BK81" s="367">
        <v>70</v>
      </c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 ht="12.75">
      <c r="A82" s="248">
        <f t="shared" si="0"/>
        <v>81</v>
      </c>
      <c r="B82" s="205" t="s">
        <v>68</v>
      </c>
      <c r="C82" s="205" t="s">
        <v>57</v>
      </c>
      <c r="D82" s="205" t="s">
        <v>106</v>
      </c>
      <c r="E82" s="205">
        <v>2010</v>
      </c>
      <c r="F82" s="205" t="s">
        <v>204</v>
      </c>
      <c r="G82" s="297">
        <v>3.3</v>
      </c>
      <c r="H82" s="297">
        <v>4.8</v>
      </c>
      <c r="I82" s="297">
        <v>5.7</v>
      </c>
      <c r="J82" s="298">
        <v>0.6</v>
      </c>
      <c r="K82" s="205">
        <v>1.5</v>
      </c>
      <c r="L82" s="205">
        <v>960</v>
      </c>
      <c r="M82" s="205">
        <v>2009</v>
      </c>
      <c r="N82" s="205">
        <v>2010</v>
      </c>
      <c r="O82" s="205">
        <v>2029</v>
      </c>
      <c r="P82" s="299">
        <v>90</v>
      </c>
      <c r="Q82" s="299">
        <v>90</v>
      </c>
      <c r="R82" s="205">
        <v>30</v>
      </c>
      <c r="S82" s="205">
        <v>160</v>
      </c>
      <c r="T82" s="205">
        <v>570</v>
      </c>
      <c r="U82" s="205">
        <v>200</v>
      </c>
      <c r="V82" s="364">
        <v>3</v>
      </c>
      <c r="W82" s="364">
        <v>17</v>
      </c>
      <c r="X82" s="364">
        <v>59</v>
      </c>
      <c r="Y82" s="364">
        <v>21</v>
      </c>
      <c r="Z82" s="205">
        <v>1150</v>
      </c>
      <c r="AA82" s="205">
        <v>1300</v>
      </c>
      <c r="AB82" s="205">
        <v>50</v>
      </c>
      <c r="AC82" s="205">
        <v>180</v>
      </c>
      <c r="AD82" s="205">
        <v>630</v>
      </c>
      <c r="AE82" s="205">
        <v>290</v>
      </c>
      <c r="AF82" s="205">
        <v>40</v>
      </c>
      <c r="AG82" s="205">
        <v>240</v>
      </c>
      <c r="AH82" s="205">
        <v>810</v>
      </c>
      <c r="AI82" s="205">
        <v>210</v>
      </c>
      <c r="AJ82" s="299">
        <v>190</v>
      </c>
      <c r="AK82" s="299">
        <v>360</v>
      </c>
      <c r="AL82" s="299">
        <v>80</v>
      </c>
      <c r="AM82" s="299">
        <v>170</v>
      </c>
      <c r="AN82" s="299">
        <v>10</v>
      </c>
      <c r="AO82" s="299">
        <v>40</v>
      </c>
      <c r="AP82" s="299">
        <v>590</v>
      </c>
      <c r="AQ82" s="299">
        <v>180</v>
      </c>
      <c r="AR82" s="299">
        <v>210</v>
      </c>
      <c r="AS82" s="299">
        <v>30</v>
      </c>
      <c r="AT82" s="299">
        <v>30</v>
      </c>
      <c r="AU82" s="299">
        <v>400</v>
      </c>
      <c r="AV82" s="299">
        <v>140</v>
      </c>
      <c r="AW82" s="299">
        <v>140</v>
      </c>
      <c r="AX82" s="299">
        <v>20</v>
      </c>
      <c r="AY82" s="205">
        <v>550</v>
      </c>
      <c r="AZ82" s="205">
        <v>630</v>
      </c>
      <c r="BA82" s="249">
        <v>430</v>
      </c>
      <c r="BB82" s="373">
        <v>6</v>
      </c>
      <c r="BC82" s="374">
        <v>1.2905982249999999</v>
      </c>
      <c r="BD82" s="374">
        <v>30</v>
      </c>
      <c r="BE82" s="374">
        <v>10</v>
      </c>
      <c r="BF82" s="374">
        <v>20</v>
      </c>
      <c r="BG82" s="374">
        <v>6.072297184156219</v>
      </c>
      <c r="BH82" s="373">
        <v>6</v>
      </c>
      <c r="BI82" s="375">
        <v>30</v>
      </c>
      <c r="BJ82" s="376">
        <v>40</v>
      </c>
      <c r="BK82" s="367">
        <v>30</v>
      </c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 ht="12.75">
      <c r="A83" s="248">
        <f t="shared" si="0"/>
        <v>82</v>
      </c>
      <c r="B83" s="205" t="s">
        <v>69</v>
      </c>
      <c r="C83" s="205" t="s">
        <v>105</v>
      </c>
      <c r="D83" s="205" t="s">
        <v>211</v>
      </c>
      <c r="E83" s="205">
        <v>2010</v>
      </c>
      <c r="F83" s="205" t="s">
        <v>204</v>
      </c>
      <c r="G83" s="297">
        <v>4.4</v>
      </c>
      <c r="H83" s="297">
        <v>5.5</v>
      </c>
      <c r="I83" s="297">
        <v>6.1</v>
      </c>
      <c r="J83" s="298">
        <v>2.7</v>
      </c>
      <c r="K83" s="205">
        <v>1.3</v>
      </c>
      <c r="L83" s="205">
        <v>710</v>
      </c>
      <c r="M83" s="205">
        <v>2009</v>
      </c>
      <c r="N83" s="205">
        <v>2010</v>
      </c>
      <c r="O83" s="205">
        <v>2029</v>
      </c>
      <c r="P83" s="299">
        <v>80</v>
      </c>
      <c r="Q83" s="299">
        <v>110</v>
      </c>
      <c r="R83" s="205">
        <v>10</v>
      </c>
      <c r="S83" s="205">
        <v>230</v>
      </c>
      <c r="T83" s="205">
        <v>420</v>
      </c>
      <c r="U83" s="205">
        <v>50</v>
      </c>
      <c r="V83" s="364">
        <v>1</v>
      </c>
      <c r="W83" s="364">
        <v>32</v>
      </c>
      <c r="X83" s="364">
        <v>60</v>
      </c>
      <c r="Y83" s="364">
        <v>7</v>
      </c>
      <c r="Z83" s="205">
        <v>660</v>
      </c>
      <c r="AA83" s="205">
        <v>1130</v>
      </c>
      <c r="AB83" s="205">
        <v>20</v>
      </c>
      <c r="AC83" s="205">
        <v>140</v>
      </c>
      <c r="AD83" s="205">
        <v>400</v>
      </c>
      <c r="AE83" s="205">
        <v>100</v>
      </c>
      <c r="AF83" s="205">
        <v>10</v>
      </c>
      <c r="AG83" s="205">
        <v>310</v>
      </c>
      <c r="AH83" s="205">
        <v>700</v>
      </c>
      <c r="AI83" s="205">
        <v>110</v>
      </c>
      <c r="AJ83" s="299">
        <v>120</v>
      </c>
      <c r="AK83" s="299">
        <v>240</v>
      </c>
      <c r="AL83" s="299">
        <v>40</v>
      </c>
      <c r="AM83" s="299">
        <v>90</v>
      </c>
      <c r="AN83" s="299">
        <v>50</v>
      </c>
      <c r="AO83" s="299">
        <v>40</v>
      </c>
      <c r="AP83" s="299">
        <v>620</v>
      </c>
      <c r="AQ83" s="299">
        <v>40</v>
      </c>
      <c r="AR83" s="299">
        <v>200</v>
      </c>
      <c r="AS83" s="299">
        <v>110</v>
      </c>
      <c r="AT83" s="299">
        <v>10</v>
      </c>
      <c r="AU83" s="299">
        <v>400</v>
      </c>
      <c r="AV83" s="299">
        <v>10</v>
      </c>
      <c r="AW83" s="299">
        <v>150</v>
      </c>
      <c r="AX83" s="299">
        <v>80</v>
      </c>
      <c r="AY83" s="205">
        <v>360</v>
      </c>
      <c r="AZ83" s="205">
        <v>660</v>
      </c>
      <c r="BA83" s="249">
        <v>410</v>
      </c>
      <c r="BB83" s="373">
        <v>2</v>
      </c>
      <c r="BC83" s="374">
        <v>0.5688919631534252</v>
      </c>
      <c r="BD83" s="374">
        <v>30</v>
      </c>
      <c r="BE83" s="374">
        <v>1.2768612415120002</v>
      </c>
      <c r="BF83" s="374">
        <v>30</v>
      </c>
      <c r="BG83" s="374">
        <v>20</v>
      </c>
      <c r="BH83" s="373">
        <v>1</v>
      </c>
      <c r="BI83" s="375">
        <v>50</v>
      </c>
      <c r="BJ83" s="376">
        <v>30</v>
      </c>
      <c r="BK83" s="367">
        <v>30</v>
      </c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 ht="12.75">
      <c r="A84" s="248">
        <f t="shared" si="0"/>
        <v>83</v>
      </c>
      <c r="B84" s="205" t="s">
        <v>78</v>
      </c>
      <c r="C84" s="205" t="s">
        <v>483</v>
      </c>
      <c r="D84" s="205" t="s">
        <v>56</v>
      </c>
      <c r="E84" s="205">
        <v>2010</v>
      </c>
      <c r="F84" s="205" t="s">
        <v>204</v>
      </c>
      <c r="G84" s="297">
        <v>4.6</v>
      </c>
      <c r="H84" s="297">
        <v>6.8</v>
      </c>
      <c r="I84" s="297">
        <v>6.8</v>
      </c>
      <c r="J84" s="298">
        <v>5.6</v>
      </c>
      <c r="K84" s="205">
        <v>1.5</v>
      </c>
      <c r="L84" s="205">
        <v>10320</v>
      </c>
      <c r="M84" s="205">
        <v>2009</v>
      </c>
      <c r="N84" s="205">
        <v>2010</v>
      </c>
      <c r="O84" s="205">
        <v>2029</v>
      </c>
      <c r="P84" s="299">
        <v>1320</v>
      </c>
      <c r="Q84" s="299">
        <v>130</v>
      </c>
      <c r="R84" s="205">
        <v>300</v>
      </c>
      <c r="S84" s="205">
        <v>2840</v>
      </c>
      <c r="T84" s="205">
        <v>6710</v>
      </c>
      <c r="U84" s="205">
        <v>470</v>
      </c>
      <c r="V84" s="364">
        <v>3</v>
      </c>
      <c r="W84" s="364">
        <v>28</v>
      </c>
      <c r="X84" s="364">
        <v>64</v>
      </c>
      <c r="Y84" s="364">
        <v>5</v>
      </c>
      <c r="Z84" s="205">
        <v>4110</v>
      </c>
      <c r="AA84" s="205">
        <v>12200</v>
      </c>
      <c r="AB84" s="205">
        <v>380</v>
      </c>
      <c r="AC84" s="205">
        <v>1030</v>
      </c>
      <c r="AD84" s="205">
        <v>2560</v>
      </c>
      <c r="AE84" s="205">
        <v>140</v>
      </c>
      <c r="AF84" s="205">
        <v>440</v>
      </c>
      <c r="AG84" s="205">
        <v>3150</v>
      </c>
      <c r="AH84" s="205">
        <v>8130</v>
      </c>
      <c r="AI84" s="205">
        <v>480</v>
      </c>
      <c r="AJ84" s="299">
        <v>190</v>
      </c>
      <c r="AK84" s="299">
        <v>2080</v>
      </c>
      <c r="AL84" s="299">
        <v>290</v>
      </c>
      <c r="AM84" s="299">
        <v>400</v>
      </c>
      <c r="AN84" s="299">
        <v>630</v>
      </c>
      <c r="AO84" s="299">
        <v>260</v>
      </c>
      <c r="AP84" s="299">
        <v>6230</v>
      </c>
      <c r="AQ84" s="299">
        <v>1640</v>
      </c>
      <c r="AR84" s="299">
        <v>1520</v>
      </c>
      <c r="AS84" s="299">
        <v>1630</v>
      </c>
      <c r="AT84" s="299">
        <v>220</v>
      </c>
      <c r="AU84" s="299">
        <v>5100</v>
      </c>
      <c r="AV84" s="299">
        <v>1390</v>
      </c>
      <c r="AW84" s="299">
        <v>1380</v>
      </c>
      <c r="AX84" s="299">
        <v>1460</v>
      </c>
      <c r="AY84" s="205">
        <v>2270</v>
      </c>
      <c r="AZ84" s="205">
        <v>6490</v>
      </c>
      <c r="BA84" s="249">
        <v>5320</v>
      </c>
      <c r="BB84" s="377">
        <v>10</v>
      </c>
      <c r="BC84" s="378">
        <v>10</v>
      </c>
      <c r="BD84" s="378">
        <v>400</v>
      </c>
      <c r="BE84" s="378">
        <v>140</v>
      </c>
      <c r="BF84" s="378">
        <v>270</v>
      </c>
      <c r="BG84" s="378">
        <v>390</v>
      </c>
      <c r="BH84" s="377">
        <v>100</v>
      </c>
      <c r="BI84" s="371">
        <v>660</v>
      </c>
      <c r="BJ84" s="372">
        <v>550</v>
      </c>
      <c r="BK84" s="367">
        <v>410</v>
      </c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 ht="12.75">
      <c r="A85" s="248">
        <f t="shared" si="0"/>
        <v>84</v>
      </c>
      <c r="B85" s="205" t="s">
        <v>70</v>
      </c>
      <c r="C85" s="205" t="s">
        <v>101</v>
      </c>
      <c r="D85" s="205" t="s">
        <v>101</v>
      </c>
      <c r="E85" s="205">
        <v>2010</v>
      </c>
      <c r="F85" s="205" t="s">
        <v>204</v>
      </c>
      <c r="G85" s="297">
        <v>2.7</v>
      </c>
      <c r="H85" s="297">
        <v>3.4</v>
      </c>
      <c r="I85" s="297">
        <v>5</v>
      </c>
      <c r="J85" s="298">
        <v>1.6</v>
      </c>
      <c r="K85" s="205">
        <v>1.3</v>
      </c>
      <c r="L85" s="205">
        <v>7200</v>
      </c>
      <c r="M85" s="205">
        <v>2009</v>
      </c>
      <c r="N85" s="205">
        <v>2010</v>
      </c>
      <c r="O85" s="205">
        <v>2029</v>
      </c>
      <c r="P85" s="299">
        <v>700</v>
      </c>
      <c r="Q85" s="299">
        <v>100</v>
      </c>
      <c r="R85" s="205">
        <v>40</v>
      </c>
      <c r="S85" s="205">
        <v>1180</v>
      </c>
      <c r="T85" s="205">
        <v>5180</v>
      </c>
      <c r="U85" s="205">
        <v>800</v>
      </c>
      <c r="V85" s="364">
        <v>1</v>
      </c>
      <c r="W85" s="364">
        <v>16</v>
      </c>
      <c r="X85" s="364">
        <v>72</v>
      </c>
      <c r="Y85" s="364">
        <v>11</v>
      </c>
      <c r="Z85" s="205">
        <v>6590</v>
      </c>
      <c r="AA85" s="205">
        <v>9000</v>
      </c>
      <c r="AB85" s="205">
        <v>110</v>
      </c>
      <c r="AC85" s="205">
        <v>970</v>
      </c>
      <c r="AD85" s="205">
        <v>3670</v>
      </c>
      <c r="AE85" s="205">
        <v>1840</v>
      </c>
      <c r="AF85" s="205">
        <v>100</v>
      </c>
      <c r="AG85" s="205">
        <v>1710</v>
      </c>
      <c r="AH85" s="205">
        <v>6410</v>
      </c>
      <c r="AI85" s="205">
        <v>780</v>
      </c>
      <c r="AJ85" s="299">
        <v>420</v>
      </c>
      <c r="AK85" s="299">
        <v>2510</v>
      </c>
      <c r="AL85" s="299">
        <v>740</v>
      </c>
      <c r="AM85" s="299">
        <v>670</v>
      </c>
      <c r="AN85" s="299">
        <v>300</v>
      </c>
      <c r="AO85" s="299">
        <v>940</v>
      </c>
      <c r="AP85" s="299">
        <v>4430</v>
      </c>
      <c r="AQ85" s="299">
        <v>1040</v>
      </c>
      <c r="AR85" s="299">
        <v>1110</v>
      </c>
      <c r="AS85" s="299">
        <v>600</v>
      </c>
      <c r="AT85" s="299">
        <v>900</v>
      </c>
      <c r="AU85" s="299">
        <v>3650</v>
      </c>
      <c r="AV85" s="299">
        <v>630</v>
      </c>
      <c r="AW85" s="299">
        <v>770</v>
      </c>
      <c r="AX85" s="299">
        <v>410</v>
      </c>
      <c r="AY85" s="205">
        <v>2930</v>
      </c>
      <c r="AZ85" s="205">
        <v>5370</v>
      </c>
      <c r="BA85" s="249">
        <v>4550</v>
      </c>
      <c r="BB85" s="373">
        <v>30</v>
      </c>
      <c r="BC85" s="374">
        <v>40</v>
      </c>
      <c r="BD85" s="374">
        <v>300</v>
      </c>
      <c r="BE85" s="374">
        <v>60</v>
      </c>
      <c r="BF85" s="374">
        <v>150</v>
      </c>
      <c r="BG85" s="374">
        <v>110</v>
      </c>
      <c r="BH85" s="373">
        <v>10</v>
      </c>
      <c r="BI85" s="375">
        <v>260</v>
      </c>
      <c r="BJ85" s="376">
        <v>400</v>
      </c>
      <c r="BK85" s="367">
        <v>430</v>
      </c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 ht="12.75">
      <c r="A86" s="248">
        <f t="shared" si="0"/>
        <v>85</v>
      </c>
      <c r="B86" s="205" t="s">
        <v>71</v>
      </c>
      <c r="C86" s="205" t="s">
        <v>104</v>
      </c>
      <c r="D86" s="205" t="s">
        <v>104</v>
      </c>
      <c r="E86" s="205">
        <v>2010</v>
      </c>
      <c r="F86" s="205" t="s">
        <v>204</v>
      </c>
      <c r="G86" s="297">
        <v>4</v>
      </c>
      <c r="H86" s="297">
        <v>6.9</v>
      </c>
      <c r="I86" s="297">
        <v>6.7</v>
      </c>
      <c r="J86" s="298">
        <v>4.6</v>
      </c>
      <c r="K86" s="205">
        <v>1.7</v>
      </c>
      <c r="L86" s="205">
        <v>2180</v>
      </c>
      <c r="M86" s="205">
        <v>2009</v>
      </c>
      <c r="N86" s="205">
        <v>2010</v>
      </c>
      <c r="O86" s="205">
        <v>2029</v>
      </c>
      <c r="P86" s="299">
        <v>210</v>
      </c>
      <c r="Q86" s="299">
        <v>100</v>
      </c>
      <c r="R86" s="205">
        <v>10</v>
      </c>
      <c r="S86" s="205">
        <v>350</v>
      </c>
      <c r="T86" s="205">
        <v>1800</v>
      </c>
      <c r="U86" s="205">
        <v>20</v>
      </c>
      <c r="V86" s="364" t="s">
        <v>669</v>
      </c>
      <c r="W86" s="364">
        <v>16</v>
      </c>
      <c r="X86" s="364">
        <v>83</v>
      </c>
      <c r="Y86" s="364">
        <v>1</v>
      </c>
      <c r="Z86" s="205">
        <v>1130</v>
      </c>
      <c r="AA86" s="205">
        <v>2770</v>
      </c>
      <c r="AB86" s="205">
        <v>0</v>
      </c>
      <c r="AC86" s="205">
        <v>130</v>
      </c>
      <c r="AD86" s="205">
        <v>910</v>
      </c>
      <c r="AE86" s="205">
        <v>90</v>
      </c>
      <c r="AF86" s="205">
        <v>10</v>
      </c>
      <c r="AG86" s="205">
        <v>360</v>
      </c>
      <c r="AH86" s="205">
        <v>2300</v>
      </c>
      <c r="AI86" s="205">
        <v>100</v>
      </c>
      <c r="AJ86" s="299">
        <v>280</v>
      </c>
      <c r="AK86" s="299">
        <v>600</v>
      </c>
      <c r="AL86" s="299">
        <v>30</v>
      </c>
      <c r="AM86" s="299">
        <v>100</v>
      </c>
      <c r="AN86" s="299">
        <v>30</v>
      </c>
      <c r="AO86" s="299">
        <v>400</v>
      </c>
      <c r="AP86" s="299">
        <v>1700</v>
      </c>
      <c r="AQ86" s="299">
        <v>200</v>
      </c>
      <c r="AR86" s="299">
        <v>260</v>
      </c>
      <c r="AS86" s="299">
        <v>100</v>
      </c>
      <c r="AT86" s="299">
        <v>350</v>
      </c>
      <c r="AU86" s="299">
        <v>1290</v>
      </c>
      <c r="AV86" s="299">
        <v>160</v>
      </c>
      <c r="AW86" s="299">
        <v>250</v>
      </c>
      <c r="AX86" s="299">
        <v>100</v>
      </c>
      <c r="AY86" s="205">
        <v>880</v>
      </c>
      <c r="AZ86" s="205">
        <v>2100</v>
      </c>
      <c r="BA86" s="249">
        <v>1640</v>
      </c>
      <c r="BB86" s="373">
        <v>1</v>
      </c>
      <c r="BC86" s="374">
        <v>10</v>
      </c>
      <c r="BD86" s="374">
        <v>100</v>
      </c>
      <c r="BE86" s="374">
        <v>20</v>
      </c>
      <c r="BF86" s="374">
        <v>50</v>
      </c>
      <c r="BG86" s="374">
        <v>20</v>
      </c>
      <c r="BH86" s="373">
        <v>4</v>
      </c>
      <c r="BI86" s="375">
        <v>70</v>
      </c>
      <c r="BJ86" s="376">
        <v>140</v>
      </c>
      <c r="BK86" s="367">
        <v>110</v>
      </c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 ht="12.75">
      <c r="A87" s="248">
        <f t="shared" si="0"/>
        <v>86</v>
      </c>
      <c r="B87" s="205" t="s">
        <v>72</v>
      </c>
      <c r="C87" s="205" t="s">
        <v>100</v>
      </c>
      <c r="D87" s="205" t="s">
        <v>100</v>
      </c>
      <c r="E87" s="205">
        <v>2010</v>
      </c>
      <c r="F87" s="205" t="s">
        <v>204</v>
      </c>
      <c r="G87" s="297">
        <v>3.2</v>
      </c>
      <c r="H87" s="297">
        <v>5.3</v>
      </c>
      <c r="I87" s="297">
        <v>5.4</v>
      </c>
      <c r="J87" s="298">
        <v>3.3</v>
      </c>
      <c r="K87" s="205">
        <v>1.7</v>
      </c>
      <c r="L87" s="205">
        <v>30900</v>
      </c>
      <c r="M87" s="205">
        <v>2009</v>
      </c>
      <c r="N87" s="205">
        <v>2010</v>
      </c>
      <c r="O87" s="205">
        <v>2029</v>
      </c>
      <c r="P87" s="299">
        <v>3590</v>
      </c>
      <c r="Q87" s="299">
        <v>120</v>
      </c>
      <c r="R87" s="205">
        <v>720</v>
      </c>
      <c r="S87" s="205">
        <v>7100</v>
      </c>
      <c r="T87" s="205">
        <v>21160</v>
      </c>
      <c r="U87" s="205">
        <v>1920</v>
      </c>
      <c r="V87" s="364">
        <v>2</v>
      </c>
      <c r="W87" s="364">
        <v>23</v>
      </c>
      <c r="X87" s="364">
        <v>69</v>
      </c>
      <c r="Y87" s="364">
        <v>6</v>
      </c>
      <c r="Z87" s="205">
        <v>18890</v>
      </c>
      <c r="AA87" s="205">
        <v>36300</v>
      </c>
      <c r="AB87" s="205">
        <v>800</v>
      </c>
      <c r="AC87" s="205">
        <v>3500</v>
      </c>
      <c r="AD87" s="205">
        <v>11580</v>
      </c>
      <c r="AE87" s="205">
        <v>3010</v>
      </c>
      <c r="AF87" s="205">
        <v>960</v>
      </c>
      <c r="AG87" s="205">
        <v>8260</v>
      </c>
      <c r="AH87" s="205">
        <v>25000</v>
      </c>
      <c r="AI87" s="205">
        <v>2080</v>
      </c>
      <c r="AJ87" s="299">
        <v>1630</v>
      </c>
      <c r="AK87" s="299">
        <v>8290</v>
      </c>
      <c r="AL87" s="299">
        <v>1660</v>
      </c>
      <c r="AM87" s="299">
        <v>1880</v>
      </c>
      <c r="AN87" s="299">
        <v>1620</v>
      </c>
      <c r="AO87" s="299">
        <v>2360</v>
      </c>
      <c r="AP87" s="299">
        <v>18720</v>
      </c>
      <c r="AQ87" s="299">
        <v>3920</v>
      </c>
      <c r="AR87" s="299">
        <v>4430</v>
      </c>
      <c r="AS87" s="299">
        <v>3830</v>
      </c>
      <c r="AT87" s="299">
        <v>2180</v>
      </c>
      <c r="AU87" s="299">
        <v>15910</v>
      </c>
      <c r="AV87" s="299">
        <v>3070</v>
      </c>
      <c r="AW87" s="299">
        <v>3680</v>
      </c>
      <c r="AX87" s="299">
        <v>3420</v>
      </c>
      <c r="AY87" s="205">
        <v>9920</v>
      </c>
      <c r="AZ87" s="205">
        <v>21080</v>
      </c>
      <c r="BA87" s="249">
        <v>18090</v>
      </c>
      <c r="BB87" s="368">
        <v>60</v>
      </c>
      <c r="BC87" s="368">
        <v>100</v>
      </c>
      <c r="BD87" s="368">
        <v>1280</v>
      </c>
      <c r="BE87" s="368">
        <v>300</v>
      </c>
      <c r="BF87" s="368">
        <v>710</v>
      </c>
      <c r="BG87" s="368">
        <v>910</v>
      </c>
      <c r="BH87" s="368">
        <v>220</v>
      </c>
      <c r="BI87" s="365">
        <v>1630</v>
      </c>
      <c r="BJ87" s="366">
        <v>1680</v>
      </c>
      <c r="BK87" s="367">
        <v>1380</v>
      </c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256" s="383" customFormat="1" ht="12.75">
      <c r="A88" s="248">
        <f aca="true" t="shared" si="1" ref="A88:A104">A87+1</f>
        <v>87</v>
      </c>
      <c r="B88" t="s">
        <v>29</v>
      </c>
      <c r="C88" t="s">
        <v>105</v>
      </c>
      <c r="D88" t="s">
        <v>105</v>
      </c>
      <c r="E88">
        <v>2011</v>
      </c>
      <c r="F88" t="s">
        <v>204</v>
      </c>
      <c r="G88" s="387">
        <v>4.4</v>
      </c>
      <c r="H88" s="387">
        <v>5.1</v>
      </c>
      <c r="I88" s="387">
        <v>5.2</v>
      </c>
      <c r="J88" s="387">
        <v>2.9233285479203897</v>
      </c>
      <c r="K88"/>
      <c r="L88">
        <v>800</v>
      </c>
      <c r="M88">
        <v>2010</v>
      </c>
      <c r="N88">
        <v>2011</v>
      </c>
      <c r="O88">
        <v>2030</v>
      </c>
      <c r="P88" s="387">
        <v>100</v>
      </c>
      <c r="Q88" s="384">
        <v>130</v>
      </c>
      <c r="R88">
        <v>10</v>
      </c>
      <c r="S88">
        <v>230</v>
      </c>
      <c r="T88">
        <v>510</v>
      </c>
      <c r="U88">
        <v>50</v>
      </c>
      <c r="V88" s="384">
        <v>1.25</v>
      </c>
      <c r="W88" s="384">
        <v>28.75</v>
      </c>
      <c r="X88" s="384">
        <v>63.75</v>
      </c>
      <c r="Y88" s="384">
        <v>6.25</v>
      </c>
      <c r="Z88">
        <v>680</v>
      </c>
      <c r="AA88">
        <v>1210</v>
      </c>
      <c r="AB88">
        <v>10</v>
      </c>
      <c r="AC88">
        <v>140</v>
      </c>
      <c r="AD88">
        <v>420</v>
      </c>
      <c r="AE88">
        <v>110</v>
      </c>
      <c r="AF88">
        <v>10</v>
      </c>
      <c r="AG88">
        <v>320</v>
      </c>
      <c r="AH88">
        <v>790</v>
      </c>
      <c r="AI88">
        <v>90</v>
      </c>
      <c r="AJ88">
        <v>140</v>
      </c>
      <c r="AK88">
        <v>250</v>
      </c>
      <c r="AL88">
        <v>30</v>
      </c>
      <c r="AM88">
        <v>90</v>
      </c>
      <c r="AN88">
        <v>50</v>
      </c>
      <c r="AO88">
        <v>70</v>
      </c>
      <c r="AP88">
        <v>660</v>
      </c>
      <c r="AQ88">
        <v>60</v>
      </c>
      <c r="AR88">
        <v>210</v>
      </c>
      <c r="AS88">
        <v>110</v>
      </c>
      <c r="AT88">
        <v>40</v>
      </c>
      <c r="AU88">
        <v>430</v>
      </c>
      <c r="AV88">
        <v>40</v>
      </c>
      <c r="AW88">
        <v>150</v>
      </c>
      <c r="AX88">
        <v>80</v>
      </c>
      <c r="AY88">
        <v>390</v>
      </c>
      <c r="AZ88">
        <v>730</v>
      </c>
      <c r="BA88">
        <v>470</v>
      </c>
      <c r="BB88" s="384">
        <v>2</v>
      </c>
      <c r="BC88" s="384">
        <v>0</v>
      </c>
      <c r="BD88" s="384">
        <v>40</v>
      </c>
      <c r="BE88" s="384">
        <v>0</v>
      </c>
      <c r="BF88" s="384">
        <v>40</v>
      </c>
      <c r="BG88" s="384">
        <v>20</v>
      </c>
      <c r="BH88" s="384">
        <v>2</v>
      </c>
      <c r="BI88" s="384">
        <v>60</v>
      </c>
      <c r="BJ88" s="384">
        <v>40</v>
      </c>
      <c r="BK88" s="384">
        <v>40</v>
      </c>
      <c r="BL88" s="248"/>
      <c r="BM88" s="205"/>
      <c r="BN88" s="205"/>
      <c r="BO88" s="205"/>
      <c r="BP88" s="205"/>
      <c r="BQ88" s="205"/>
      <c r="BR88" s="297"/>
      <c r="BS88" s="297"/>
      <c r="BT88" s="297"/>
      <c r="BU88" s="298"/>
      <c r="BV88" s="205"/>
      <c r="BW88" s="205"/>
      <c r="BX88" s="205"/>
      <c r="BY88" s="205"/>
      <c r="BZ88" s="205"/>
      <c r="CA88" s="299"/>
      <c r="CB88" s="299"/>
      <c r="CC88" s="205"/>
      <c r="CD88" s="205"/>
      <c r="CE88" s="205"/>
      <c r="CF88" s="205"/>
      <c r="CG88" s="364"/>
      <c r="CH88" s="364"/>
      <c r="CI88" s="364"/>
      <c r="CJ88" s="364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99"/>
      <c r="CV88" s="299"/>
      <c r="CW88" s="299"/>
      <c r="CX88" s="299"/>
      <c r="CY88" s="299"/>
      <c r="CZ88" s="299"/>
      <c r="DA88" s="299"/>
      <c r="DB88" s="299"/>
      <c r="DC88" s="299"/>
      <c r="DD88" s="299"/>
      <c r="DE88" s="299"/>
      <c r="DF88" s="299"/>
      <c r="DG88" s="299"/>
      <c r="DH88" s="299"/>
      <c r="DI88" s="299"/>
      <c r="DJ88" s="205"/>
      <c r="DK88" s="205"/>
      <c r="DL88" s="249"/>
      <c r="DM88" s="368"/>
      <c r="DN88" s="368"/>
      <c r="DO88" s="368"/>
      <c r="DP88" s="368"/>
      <c r="DQ88" s="368"/>
      <c r="DR88" s="368"/>
      <c r="DS88" s="368"/>
      <c r="DT88" s="365"/>
      <c r="DU88" s="366"/>
      <c r="DV88" s="367"/>
      <c r="DW88" s="248"/>
      <c r="DX88" s="205"/>
      <c r="DY88" s="205"/>
      <c r="DZ88" s="205"/>
      <c r="EA88" s="205"/>
      <c r="EB88" s="205"/>
      <c r="EC88" s="297"/>
      <c r="ED88" s="297"/>
      <c r="EE88" s="297"/>
      <c r="EF88" s="298"/>
      <c r="EG88" s="205"/>
      <c r="EH88" s="205"/>
      <c r="EI88" s="205"/>
      <c r="EJ88" s="205"/>
      <c r="EK88" s="205"/>
      <c r="EL88" s="299"/>
      <c r="EM88" s="299"/>
      <c r="EN88" s="205"/>
      <c r="EO88" s="205"/>
      <c r="EP88" s="205"/>
      <c r="EQ88" s="205"/>
      <c r="ER88" s="364"/>
      <c r="ES88" s="364"/>
      <c r="ET88" s="364"/>
      <c r="EU88" s="364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99"/>
      <c r="FG88" s="299"/>
      <c r="FH88" s="299"/>
      <c r="FI88" s="299"/>
      <c r="FJ88" s="299"/>
      <c r="FK88" s="299"/>
      <c r="FL88" s="299"/>
      <c r="FM88" s="299"/>
      <c r="FN88" s="299"/>
      <c r="FO88" s="299"/>
      <c r="FP88" s="299"/>
      <c r="FQ88" s="299"/>
      <c r="FR88" s="299"/>
      <c r="FS88" s="299"/>
      <c r="FT88" s="299"/>
      <c r="FU88" s="205"/>
      <c r="FV88" s="205"/>
      <c r="FW88" s="249"/>
      <c r="FX88" s="368"/>
      <c r="FY88" s="368"/>
      <c r="FZ88" s="368"/>
      <c r="GA88" s="368"/>
      <c r="GB88" s="368"/>
      <c r="GC88" s="368"/>
      <c r="GD88" s="368"/>
      <c r="GE88" s="365"/>
      <c r="GF88" s="366"/>
      <c r="GG88" s="367"/>
      <c r="GH88" s="248"/>
      <c r="GI88" s="205"/>
      <c r="GJ88" s="205"/>
      <c r="GK88" s="205"/>
      <c r="GL88" s="205"/>
      <c r="GM88" s="205"/>
      <c r="GN88" s="297"/>
      <c r="GO88" s="297"/>
      <c r="GP88" s="297"/>
      <c r="GQ88" s="298"/>
      <c r="GR88" s="205"/>
      <c r="GS88" s="205"/>
      <c r="GT88" s="205"/>
      <c r="GU88" s="205"/>
      <c r="GV88" s="205"/>
      <c r="GW88" s="299"/>
      <c r="GX88" s="299"/>
      <c r="GY88" s="205"/>
      <c r="GZ88" s="205"/>
      <c r="HA88" s="205"/>
      <c r="HB88" s="205"/>
      <c r="HC88" s="364"/>
      <c r="HD88" s="364"/>
      <c r="HE88" s="364"/>
      <c r="HF88" s="364"/>
      <c r="HG88" s="205"/>
      <c r="HH88" s="205"/>
      <c r="HI88" s="205"/>
      <c r="HJ88" s="205"/>
      <c r="HK88" s="205"/>
      <c r="HL88" s="205"/>
      <c r="HM88" s="205"/>
      <c r="HN88" s="205"/>
      <c r="HO88" s="205"/>
      <c r="HP88" s="205"/>
      <c r="HQ88" s="299"/>
      <c r="HR88" s="299"/>
      <c r="HS88" s="299"/>
      <c r="HT88" s="299"/>
      <c r="HU88" s="299"/>
      <c r="HV88" s="299"/>
      <c r="HW88" s="299"/>
      <c r="HX88" s="299"/>
      <c r="HY88" s="299"/>
      <c r="HZ88" s="299"/>
      <c r="IA88" s="299"/>
      <c r="IB88" s="299"/>
      <c r="IC88" s="299"/>
      <c r="ID88" s="299"/>
      <c r="IE88" s="299"/>
      <c r="IF88" s="205"/>
      <c r="IG88" s="205"/>
      <c r="IH88" s="249"/>
      <c r="II88" s="368"/>
      <c r="IJ88" s="368"/>
      <c r="IK88" s="368"/>
      <c r="IL88" s="368"/>
      <c r="IM88" s="368"/>
      <c r="IN88" s="368"/>
      <c r="IO88" s="368"/>
      <c r="IP88" s="365"/>
      <c r="IQ88" s="366"/>
      <c r="IR88" s="367"/>
      <c r="IS88" s="248"/>
      <c r="IT88" s="205"/>
      <c r="IU88" s="205"/>
      <c r="IV88" s="205"/>
    </row>
    <row r="89" spans="1:256" ht="12.75">
      <c r="A89" s="248">
        <f t="shared" si="1"/>
        <v>88</v>
      </c>
      <c r="B89" t="s">
        <v>18</v>
      </c>
      <c r="C89" t="s">
        <v>108</v>
      </c>
      <c r="D89" t="s">
        <v>483</v>
      </c>
      <c r="E89">
        <v>2011</v>
      </c>
      <c r="F89" t="s">
        <v>204</v>
      </c>
      <c r="G89" s="387">
        <v>7</v>
      </c>
      <c r="H89" s="387">
        <v>7.6</v>
      </c>
      <c r="I89" s="387">
        <v>6.5</v>
      </c>
      <c r="J89" s="387">
        <v>6.292062013722122</v>
      </c>
      <c r="K89"/>
      <c r="L89">
        <v>5000</v>
      </c>
      <c r="M89">
        <v>2010</v>
      </c>
      <c r="N89">
        <v>2011</v>
      </c>
      <c r="O89">
        <v>2030</v>
      </c>
      <c r="P89" s="387">
        <v>600</v>
      </c>
      <c r="Q89" s="384">
        <v>120</v>
      </c>
      <c r="R89">
        <v>110</v>
      </c>
      <c r="S89">
        <v>1040</v>
      </c>
      <c r="T89">
        <v>3550</v>
      </c>
      <c r="U89">
        <v>300</v>
      </c>
      <c r="V89" s="384">
        <v>2.2</v>
      </c>
      <c r="W89" s="384">
        <v>20.8</v>
      </c>
      <c r="X89" s="384">
        <v>71</v>
      </c>
      <c r="Y89" s="384">
        <v>6</v>
      </c>
      <c r="Z89">
        <v>1750</v>
      </c>
      <c r="AA89">
        <v>5930</v>
      </c>
      <c r="AB89">
        <v>80</v>
      </c>
      <c r="AC89">
        <v>260</v>
      </c>
      <c r="AD89">
        <v>1330</v>
      </c>
      <c r="AE89">
        <v>80</v>
      </c>
      <c r="AF89">
        <v>160</v>
      </c>
      <c r="AG89">
        <v>1200</v>
      </c>
      <c r="AH89">
        <v>4270</v>
      </c>
      <c r="AI89">
        <v>300</v>
      </c>
      <c r="AJ89">
        <v>30</v>
      </c>
      <c r="AK89">
        <v>1110</v>
      </c>
      <c r="AL89">
        <v>190</v>
      </c>
      <c r="AM89">
        <v>90</v>
      </c>
      <c r="AN89">
        <v>170</v>
      </c>
      <c r="AO89">
        <v>110</v>
      </c>
      <c r="AP89">
        <v>3160</v>
      </c>
      <c r="AQ89">
        <v>1000</v>
      </c>
      <c r="AR89">
        <v>480</v>
      </c>
      <c r="AS89">
        <v>720</v>
      </c>
      <c r="AT89">
        <v>80</v>
      </c>
      <c r="AU89">
        <v>2590</v>
      </c>
      <c r="AV89">
        <v>880</v>
      </c>
      <c r="AW89">
        <v>380</v>
      </c>
      <c r="AX89">
        <v>660</v>
      </c>
      <c r="AY89">
        <v>1140</v>
      </c>
      <c r="AZ89">
        <v>3270</v>
      </c>
      <c r="BA89">
        <v>2670</v>
      </c>
      <c r="BB89" s="384">
        <v>10</v>
      </c>
      <c r="BC89" s="384">
        <v>10</v>
      </c>
      <c r="BD89" s="384">
        <v>200</v>
      </c>
      <c r="BE89" s="384">
        <v>90</v>
      </c>
      <c r="BF89" s="384">
        <v>80</v>
      </c>
      <c r="BG89" s="384">
        <v>170</v>
      </c>
      <c r="BH89" s="384">
        <v>40</v>
      </c>
      <c r="BI89" s="384">
        <v>250</v>
      </c>
      <c r="BJ89" s="384">
        <v>300</v>
      </c>
      <c r="BK89" s="384">
        <v>210</v>
      </c>
      <c r="BL89" s="248"/>
      <c r="BM89" s="205"/>
      <c r="BN89" s="205"/>
      <c r="BO89" s="205"/>
      <c r="BP89" s="205"/>
      <c r="BQ89" s="205"/>
      <c r="BR89" s="297"/>
      <c r="BS89" s="297"/>
      <c r="BT89" s="297"/>
      <c r="BU89" s="298"/>
      <c r="BV89" s="205"/>
      <c r="BW89" s="205"/>
      <c r="BX89" s="205"/>
      <c r="BY89" s="205"/>
      <c r="BZ89" s="205"/>
      <c r="CA89" s="299"/>
      <c r="CB89" s="299"/>
      <c r="CC89" s="205"/>
      <c r="CD89" s="205"/>
      <c r="CE89" s="205"/>
      <c r="CF89" s="205"/>
      <c r="CG89" s="364"/>
      <c r="CH89" s="364"/>
      <c r="CI89" s="364"/>
      <c r="CJ89" s="364"/>
      <c r="CK89" s="205"/>
      <c r="CL89" s="205"/>
      <c r="CM89" s="205"/>
      <c r="CN89" s="205"/>
      <c r="CO89" s="205"/>
      <c r="CP89" s="205"/>
      <c r="CQ89" s="205"/>
      <c r="CR89" s="205"/>
      <c r="CS89" s="205"/>
      <c r="CT89" s="205"/>
      <c r="CU89" s="299"/>
      <c r="CV89" s="299"/>
      <c r="CW89" s="299"/>
      <c r="CX89" s="299"/>
      <c r="CY89" s="299"/>
      <c r="CZ89" s="299"/>
      <c r="DA89" s="299"/>
      <c r="DB89" s="299"/>
      <c r="DC89" s="299"/>
      <c r="DD89" s="299"/>
      <c r="DE89" s="299"/>
      <c r="DF89" s="299"/>
      <c r="DG89" s="299"/>
      <c r="DH89" s="299"/>
      <c r="DI89" s="299"/>
      <c r="DJ89" s="205"/>
      <c r="DK89" s="205"/>
      <c r="DL89" s="249"/>
      <c r="DM89" s="368"/>
      <c r="DN89" s="368"/>
      <c r="DO89" s="368"/>
      <c r="DP89" s="368"/>
      <c r="DQ89" s="368"/>
      <c r="DR89" s="368"/>
      <c r="DS89" s="368"/>
      <c r="DT89" s="365"/>
      <c r="DU89" s="366"/>
      <c r="DV89" s="367"/>
      <c r="DW89" s="248"/>
      <c r="DX89" s="205"/>
      <c r="DY89" s="205"/>
      <c r="DZ89" s="205"/>
      <c r="EA89" s="205"/>
      <c r="EB89" s="205"/>
      <c r="EC89" s="297"/>
      <c r="ED89" s="297"/>
      <c r="EE89" s="297"/>
      <c r="EF89" s="298"/>
      <c r="EG89" s="205"/>
      <c r="EH89" s="205"/>
      <c r="EI89" s="205"/>
      <c r="EJ89" s="205"/>
      <c r="EK89" s="205"/>
      <c r="EL89" s="299"/>
      <c r="EM89" s="299"/>
      <c r="EN89" s="205"/>
      <c r="EO89" s="205"/>
      <c r="EP89" s="205"/>
      <c r="EQ89" s="205"/>
      <c r="ER89" s="364"/>
      <c r="ES89" s="364"/>
      <c r="ET89" s="364"/>
      <c r="EU89" s="364"/>
      <c r="EV89" s="205"/>
      <c r="EW89" s="205"/>
      <c r="EX89" s="205"/>
      <c r="EY89" s="205"/>
      <c r="EZ89" s="205"/>
      <c r="FA89" s="205"/>
      <c r="FB89" s="205"/>
      <c r="FC89" s="205"/>
      <c r="FD89" s="205"/>
      <c r="FE89" s="205"/>
      <c r="FF89" s="299"/>
      <c r="FG89" s="299"/>
      <c r="FH89" s="299"/>
      <c r="FI89" s="299"/>
      <c r="FJ89" s="299"/>
      <c r="FK89" s="299"/>
      <c r="FL89" s="299"/>
      <c r="FM89" s="299"/>
      <c r="FN89" s="299"/>
      <c r="FO89" s="299"/>
      <c r="FP89" s="299"/>
      <c r="FQ89" s="299"/>
      <c r="FR89" s="299"/>
      <c r="FS89" s="299"/>
      <c r="FT89" s="299"/>
      <c r="FU89" s="205"/>
      <c r="FV89" s="205"/>
      <c r="FW89" s="249"/>
      <c r="FX89" s="368"/>
      <c r="FY89" s="368"/>
      <c r="FZ89" s="368"/>
      <c r="GA89" s="368"/>
      <c r="GB89" s="368"/>
      <c r="GC89" s="368"/>
      <c r="GD89" s="368"/>
      <c r="GE89" s="365"/>
      <c r="GF89" s="366"/>
      <c r="GG89" s="367"/>
      <c r="GH89" s="248"/>
      <c r="GI89" s="205"/>
      <c r="GJ89" s="205"/>
      <c r="GK89" s="205"/>
      <c r="GL89" s="205"/>
      <c r="GM89" s="205"/>
      <c r="GN89" s="297"/>
      <c r="GO89" s="297"/>
      <c r="GP89" s="297"/>
      <c r="GQ89" s="298"/>
      <c r="GR89" s="205"/>
      <c r="GS89" s="205"/>
      <c r="GT89" s="205"/>
      <c r="GU89" s="205"/>
      <c r="GV89" s="205"/>
      <c r="GW89" s="299"/>
      <c r="GX89" s="299"/>
      <c r="GY89" s="205"/>
      <c r="GZ89" s="205"/>
      <c r="HA89" s="205"/>
      <c r="HB89" s="205"/>
      <c r="HC89" s="364"/>
      <c r="HD89" s="364"/>
      <c r="HE89" s="364"/>
      <c r="HF89" s="364"/>
      <c r="HG89" s="205"/>
      <c r="HH89" s="205"/>
      <c r="HI89" s="205"/>
      <c r="HJ89" s="205"/>
      <c r="HK89" s="205"/>
      <c r="HL89" s="205"/>
      <c r="HM89" s="205"/>
      <c r="HN89" s="205"/>
      <c r="HO89" s="205"/>
      <c r="HP89" s="205"/>
      <c r="HQ89" s="299"/>
      <c r="HR89" s="299"/>
      <c r="HS89" s="299"/>
      <c r="HT89" s="299"/>
      <c r="HU89" s="299"/>
      <c r="HV89" s="299"/>
      <c r="HW89" s="299"/>
      <c r="HX89" s="299"/>
      <c r="HY89" s="299"/>
      <c r="HZ89" s="299"/>
      <c r="IA89" s="299"/>
      <c r="IB89" s="299"/>
      <c r="IC89" s="299"/>
      <c r="ID89" s="299"/>
      <c r="IE89" s="299"/>
      <c r="IF89" s="205"/>
      <c r="IG89" s="205"/>
      <c r="IH89" s="249"/>
      <c r="II89" s="368"/>
      <c r="IJ89" s="368"/>
      <c r="IK89" s="368"/>
      <c r="IL89" s="368"/>
      <c r="IM89" s="368"/>
      <c r="IN89" s="368"/>
      <c r="IO89" s="368"/>
      <c r="IP89" s="365"/>
      <c r="IQ89" s="366"/>
      <c r="IR89" s="367"/>
      <c r="IS89" s="248"/>
      <c r="IT89" s="205"/>
      <c r="IU89" s="205"/>
      <c r="IV89" s="205"/>
    </row>
    <row r="90" spans="1:256" ht="12.75">
      <c r="A90" s="248">
        <f t="shared" si="1"/>
        <v>89</v>
      </c>
      <c r="B90" s="205" t="s">
        <v>680</v>
      </c>
      <c r="C90" s="205" t="s">
        <v>109</v>
      </c>
      <c r="D90" t="s">
        <v>483</v>
      </c>
      <c r="E90">
        <v>2011</v>
      </c>
      <c r="F90" t="s">
        <v>204</v>
      </c>
      <c r="G90" s="387">
        <v>2.8</v>
      </c>
      <c r="H90" s="387">
        <v>5.5</v>
      </c>
      <c r="I90" s="387">
        <v>6</v>
      </c>
      <c r="J90" s="387">
        <v>4.07331167968894</v>
      </c>
      <c r="K90"/>
      <c r="L90">
        <v>970</v>
      </c>
      <c r="M90">
        <v>2010</v>
      </c>
      <c r="N90">
        <v>2011</v>
      </c>
      <c r="O90">
        <v>2030</v>
      </c>
      <c r="P90" s="387">
        <v>130</v>
      </c>
      <c r="Q90" s="384">
        <v>130</v>
      </c>
      <c r="R90">
        <v>30</v>
      </c>
      <c r="S90">
        <v>260</v>
      </c>
      <c r="T90">
        <v>670</v>
      </c>
      <c r="U90">
        <v>10</v>
      </c>
      <c r="V90" s="384">
        <v>3.0927835051546393</v>
      </c>
      <c r="W90" s="384">
        <v>26.804123711340207</v>
      </c>
      <c r="X90" s="384">
        <v>69.0721649484536</v>
      </c>
      <c r="Y90" s="384">
        <v>1.0309278350515463</v>
      </c>
      <c r="Z90">
        <v>450</v>
      </c>
      <c r="AA90">
        <v>1000</v>
      </c>
      <c r="AB90">
        <v>40</v>
      </c>
      <c r="AC90">
        <v>80</v>
      </c>
      <c r="AD90">
        <v>310</v>
      </c>
      <c r="AE90">
        <v>20</v>
      </c>
      <c r="AF90">
        <v>40</v>
      </c>
      <c r="AG90">
        <v>270</v>
      </c>
      <c r="AH90">
        <v>680</v>
      </c>
      <c r="AI90">
        <v>10</v>
      </c>
      <c r="AJ90">
        <v>60</v>
      </c>
      <c r="AK90">
        <v>240</v>
      </c>
      <c r="AL90">
        <v>10</v>
      </c>
      <c r="AM90">
        <v>50</v>
      </c>
      <c r="AN90">
        <v>30</v>
      </c>
      <c r="AO90">
        <v>70</v>
      </c>
      <c r="AP90">
        <v>530</v>
      </c>
      <c r="AQ90">
        <v>80</v>
      </c>
      <c r="AR90">
        <v>160</v>
      </c>
      <c r="AS90">
        <v>110</v>
      </c>
      <c r="AT90">
        <v>50</v>
      </c>
      <c r="AU90">
        <v>540</v>
      </c>
      <c r="AV90">
        <v>80</v>
      </c>
      <c r="AW90">
        <v>160</v>
      </c>
      <c r="AX90">
        <v>100</v>
      </c>
      <c r="AY90">
        <v>300</v>
      </c>
      <c r="AZ90">
        <v>600</v>
      </c>
      <c r="BA90">
        <v>590</v>
      </c>
      <c r="BB90" s="384">
        <v>0</v>
      </c>
      <c r="BC90" s="384">
        <v>0</v>
      </c>
      <c r="BD90" s="384">
        <v>50</v>
      </c>
      <c r="BE90" s="384">
        <v>10</v>
      </c>
      <c r="BF90" s="384">
        <v>30</v>
      </c>
      <c r="BG90" s="384">
        <v>30</v>
      </c>
      <c r="BH90" s="384">
        <v>10</v>
      </c>
      <c r="BI90" s="384">
        <v>60</v>
      </c>
      <c r="BJ90" s="384">
        <v>60</v>
      </c>
      <c r="BK90" s="384">
        <v>50</v>
      </c>
      <c r="BL90" s="248"/>
      <c r="BM90" s="205"/>
      <c r="BN90" s="205"/>
      <c r="BO90" s="205"/>
      <c r="BP90" s="205"/>
      <c r="BQ90" s="205"/>
      <c r="BR90" s="297"/>
      <c r="BS90" s="297"/>
      <c r="BT90" s="297"/>
      <c r="BU90" s="298"/>
      <c r="BV90" s="205"/>
      <c r="BW90" s="205"/>
      <c r="BX90" s="205"/>
      <c r="BY90" s="205"/>
      <c r="BZ90" s="205"/>
      <c r="CA90" s="299"/>
      <c r="CB90" s="299"/>
      <c r="CC90" s="205"/>
      <c r="CD90" s="205"/>
      <c r="CE90" s="205"/>
      <c r="CF90" s="205"/>
      <c r="CG90" s="364"/>
      <c r="CH90" s="364"/>
      <c r="CI90" s="364"/>
      <c r="CJ90" s="364"/>
      <c r="CK90" s="205"/>
      <c r="CL90" s="205"/>
      <c r="CM90" s="205"/>
      <c r="CN90" s="205"/>
      <c r="CO90" s="205"/>
      <c r="CP90" s="205"/>
      <c r="CQ90" s="205"/>
      <c r="CR90" s="205"/>
      <c r="CS90" s="205"/>
      <c r="CT90" s="205"/>
      <c r="CU90" s="299"/>
      <c r="CV90" s="299"/>
      <c r="CW90" s="299"/>
      <c r="CX90" s="299"/>
      <c r="CY90" s="299"/>
      <c r="CZ90" s="299"/>
      <c r="DA90" s="299"/>
      <c r="DB90" s="299"/>
      <c r="DC90" s="299"/>
      <c r="DD90" s="299"/>
      <c r="DE90" s="299"/>
      <c r="DF90" s="299"/>
      <c r="DG90" s="299"/>
      <c r="DH90" s="299"/>
      <c r="DI90" s="299"/>
      <c r="DJ90" s="205"/>
      <c r="DK90" s="205"/>
      <c r="DL90" s="249"/>
      <c r="DM90" s="368"/>
      <c r="DN90" s="368"/>
      <c r="DO90" s="368"/>
      <c r="DP90" s="368"/>
      <c r="DQ90" s="368"/>
      <c r="DR90" s="368"/>
      <c r="DS90" s="368"/>
      <c r="DT90" s="365"/>
      <c r="DU90" s="366"/>
      <c r="DV90" s="367"/>
      <c r="DW90" s="248"/>
      <c r="DX90" s="205"/>
      <c r="DY90" s="205"/>
      <c r="DZ90" s="205"/>
      <c r="EA90" s="205"/>
      <c r="EB90" s="205"/>
      <c r="EC90" s="297"/>
      <c r="ED90" s="297"/>
      <c r="EE90" s="297"/>
      <c r="EF90" s="298"/>
      <c r="EG90" s="205"/>
      <c r="EH90" s="205"/>
      <c r="EI90" s="205"/>
      <c r="EJ90" s="205"/>
      <c r="EK90" s="205"/>
      <c r="EL90" s="299"/>
      <c r="EM90" s="299"/>
      <c r="EN90" s="205"/>
      <c r="EO90" s="205"/>
      <c r="EP90" s="205"/>
      <c r="EQ90" s="205"/>
      <c r="ER90" s="364"/>
      <c r="ES90" s="364"/>
      <c r="ET90" s="364"/>
      <c r="EU90" s="364"/>
      <c r="EV90" s="205"/>
      <c r="EW90" s="205"/>
      <c r="EX90" s="205"/>
      <c r="EY90" s="205"/>
      <c r="EZ90" s="205"/>
      <c r="FA90" s="205"/>
      <c r="FB90" s="205"/>
      <c r="FC90" s="205"/>
      <c r="FD90" s="205"/>
      <c r="FE90" s="205"/>
      <c r="FF90" s="299"/>
      <c r="FG90" s="299"/>
      <c r="FH90" s="299"/>
      <c r="FI90" s="299"/>
      <c r="FJ90" s="299"/>
      <c r="FK90" s="299"/>
      <c r="FL90" s="299"/>
      <c r="FM90" s="299"/>
      <c r="FN90" s="299"/>
      <c r="FO90" s="299"/>
      <c r="FP90" s="299"/>
      <c r="FQ90" s="299"/>
      <c r="FR90" s="299"/>
      <c r="FS90" s="299"/>
      <c r="FT90" s="299"/>
      <c r="FU90" s="205"/>
      <c r="FV90" s="205"/>
      <c r="FW90" s="249"/>
      <c r="FX90" s="368"/>
      <c r="FY90" s="368"/>
      <c r="FZ90" s="368"/>
      <c r="GA90" s="368"/>
      <c r="GB90" s="368"/>
      <c r="GC90" s="368"/>
      <c r="GD90" s="368"/>
      <c r="GE90" s="365"/>
      <c r="GF90" s="366"/>
      <c r="GG90" s="367"/>
      <c r="GH90" s="248"/>
      <c r="GI90" s="205"/>
      <c r="GJ90" s="205"/>
      <c r="GK90" s="205"/>
      <c r="GL90" s="205"/>
      <c r="GM90" s="205"/>
      <c r="GN90" s="297"/>
      <c r="GO90" s="297"/>
      <c r="GP90" s="297"/>
      <c r="GQ90" s="298"/>
      <c r="GR90" s="205"/>
      <c r="GS90" s="205"/>
      <c r="GT90" s="205"/>
      <c r="GU90" s="205"/>
      <c r="GV90" s="205"/>
      <c r="GW90" s="299"/>
      <c r="GX90" s="299"/>
      <c r="GY90" s="205"/>
      <c r="GZ90" s="205"/>
      <c r="HA90" s="205"/>
      <c r="HB90" s="205"/>
      <c r="HC90" s="364"/>
      <c r="HD90" s="364"/>
      <c r="HE90" s="364"/>
      <c r="HF90" s="364"/>
      <c r="HG90" s="205"/>
      <c r="HH90" s="205"/>
      <c r="HI90" s="205"/>
      <c r="HJ90" s="205"/>
      <c r="HK90" s="205"/>
      <c r="HL90" s="205"/>
      <c r="HM90" s="205"/>
      <c r="HN90" s="205"/>
      <c r="HO90" s="205"/>
      <c r="HP90" s="205"/>
      <c r="HQ90" s="299"/>
      <c r="HR90" s="299"/>
      <c r="HS90" s="299"/>
      <c r="HT90" s="299"/>
      <c r="HU90" s="299"/>
      <c r="HV90" s="299"/>
      <c r="HW90" s="299"/>
      <c r="HX90" s="299"/>
      <c r="HY90" s="299"/>
      <c r="HZ90" s="299"/>
      <c r="IA90" s="299"/>
      <c r="IB90" s="299"/>
      <c r="IC90" s="299"/>
      <c r="ID90" s="299"/>
      <c r="IE90" s="299"/>
      <c r="IF90" s="205"/>
      <c r="IG90" s="205"/>
      <c r="IH90" s="249"/>
      <c r="II90" s="368"/>
      <c r="IJ90" s="368"/>
      <c r="IK90" s="368"/>
      <c r="IL90" s="368"/>
      <c r="IM90" s="368"/>
      <c r="IN90" s="368"/>
      <c r="IO90" s="368"/>
      <c r="IP90" s="365"/>
      <c r="IQ90" s="366"/>
      <c r="IR90" s="367"/>
      <c r="IS90" s="248"/>
      <c r="IT90" s="205"/>
      <c r="IU90" s="205"/>
      <c r="IV90" s="205"/>
    </row>
    <row r="91" spans="1:256" ht="12.75">
      <c r="A91" s="248">
        <f t="shared" si="1"/>
        <v>90</v>
      </c>
      <c r="B91" t="s">
        <v>19</v>
      </c>
      <c r="C91" t="s">
        <v>649</v>
      </c>
      <c r="D91" t="s">
        <v>483</v>
      </c>
      <c r="E91">
        <v>2011</v>
      </c>
      <c r="F91" t="s">
        <v>204</v>
      </c>
      <c r="G91" s="387">
        <v>7.1</v>
      </c>
      <c r="H91" s="387">
        <v>8.1</v>
      </c>
      <c r="I91" s="387">
        <v>7.1</v>
      </c>
      <c r="J91" s="387">
        <v>7.177346253629313</v>
      </c>
      <c r="K91"/>
      <c r="L91">
        <v>1480</v>
      </c>
      <c r="M91">
        <v>2010</v>
      </c>
      <c r="N91">
        <v>2011</v>
      </c>
      <c r="O91">
        <v>2030</v>
      </c>
      <c r="P91" s="387">
        <v>170</v>
      </c>
      <c r="Q91" s="384">
        <v>150</v>
      </c>
      <c r="R91">
        <v>0</v>
      </c>
      <c r="S91">
        <v>270</v>
      </c>
      <c r="T91">
        <v>1170</v>
      </c>
      <c r="U91">
        <v>40</v>
      </c>
      <c r="V91" s="384">
        <v>0</v>
      </c>
      <c r="W91" s="384">
        <v>18.243243243243242</v>
      </c>
      <c r="X91" s="384">
        <v>79.05405405405406</v>
      </c>
      <c r="Y91" s="384">
        <v>2.7027027027027026</v>
      </c>
      <c r="Z91">
        <v>470</v>
      </c>
      <c r="AA91">
        <v>1880</v>
      </c>
      <c r="AB91">
        <v>10</v>
      </c>
      <c r="AC91">
        <v>100</v>
      </c>
      <c r="AD91">
        <v>350</v>
      </c>
      <c r="AE91">
        <v>10</v>
      </c>
      <c r="AF91">
        <v>0</v>
      </c>
      <c r="AG91">
        <v>330</v>
      </c>
      <c r="AH91">
        <v>1510</v>
      </c>
      <c r="AI91">
        <v>40</v>
      </c>
      <c r="AJ91">
        <v>30</v>
      </c>
      <c r="AK91">
        <v>270</v>
      </c>
      <c r="AL91">
        <v>50</v>
      </c>
      <c r="AM91">
        <v>60</v>
      </c>
      <c r="AN91">
        <v>40</v>
      </c>
      <c r="AO91">
        <v>0</v>
      </c>
      <c r="AP91">
        <v>1170</v>
      </c>
      <c r="AQ91">
        <v>340</v>
      </c>
      <c r="AR91">
        <v>190</v>
      </c>
      <c r="AS91">
        <v>140</v>
      </c>
      <c r="AT91">
        <v>0</v>
      </c>
      <c r="AU91">
        <v>850</v>
      </c>
      <c r="AV91">
        <v>320</v>
      </c>
      <c r="AW91">
        <v>160</v>
      </c>
      <c r="AX91">
        <v>110</v>
      </c>
      <c r="AY91">
        <v>300</v>
      </c>
      <c r="AZ91">
        <v>1170</v>
      </c>
      <c r="BA91">
        <v>850</v>
      </c>
      <c r="BB91" s="384">
        <v>0</v>
      </c>
      <c r="BC91" s="384">
        <v>0</v>
      </c>
      <c r="BD91" s="384">
        <v>70</v>
      </c>
      <c r="BE91" s="384">
        <v>30</v>
      </c>
      <c r="BF91" s="384">
        <v>40</v>
      </c>
      <c r="BG91" s="384">
        <v>30</v>
      </c>
      <c r="BH91" s="384">
        <v>0</v>
      </c>
      <c r="BI91" s="384">
        <v>70</v>
      </c>
      <c r="BJ91" s="384">
        <v>100</v>
      </c>
      <c r="BK91" s="384">
        <v>70</v>
      </c>
      <c r="BL91" s="248"/>
      <c r="BM91" s="205"/>
      <c r="BN91" s="205"/>
      <c r="BO91" s="205"/>
      <c r="BP91" s="205"/>
      <c r="BQ91" s="205"/>
      <c r="BR91" s="297"/>
      <c r="BS91" s="297"/>
      <c r="BT91" s="297"/>
      <c r="BU91" s="298"/>
      <c r="BV91" s="205"/>
      <c r="BW91" s="205"/>
      <c r="BX91" s="205"/>
      <c r="BY91" s="205"/>
      <c r="BZ91" s="205"/>
      <c r="CA91" s="299"/>
      <c r="CB91" s="299"/>
      <c r="CC91" s="205"/>
      <c r="CD91" s="205"/>
      <c r="CE91" s="205"/>
      <c r="CF91" s="205"/>
      <c r="CG91" s="364"/>
      <c r="CH91" s="364"/>
      <c r="CI91" s="364"/>
      <c r="CJ91" s="364"/>
      <c r="CK91" s="205"/>
      <c r="CL91" s="205"/>
      <c r="CM91" s="205"/>
      <c r="CN91" s="205"/>
      <c r="CO91" s="205"/>
      <c r="CP91" s="205"/>
      <c r="CQ91" s="205"/>
      <c r="CR91" s="205"/>
      <c r="CS91" s="205"/>
      <c r="CT91" s="205"/>
      <c r="CU91" s="299"/>
      <c r="CV91" s="299"/>
      <c r="CW91" s="299"/>
      <c r="CX91" s="299"/>
      <c r="CY91" s="299"/>
      <c r="CZ91" s="299"/>
      <c r="DA91" s="299"/>
      <c r="DB91" s="299"/>
      <c r="DC91" s="299"/>
      <c r="DD91" s="299"/>
      <c r="DE91" s="299"/>
      <c r="DF91" s="299"/>
      <c r="DG91" s="299"/>
      <c r="DH91" s="299"/>
      <c r="DI91" s="299"/>
      <c r="DJ91" s="205"/>
      <c r="DK91" s="205"/>
      <c r="DL91" s="249"/>
      <c r="DM91" s="368"/>
      <c r="DN91" s="368"/>
      <c r="DO91" s="368"/>
      <c r="DP91" s="368"/>
      <c r="DQ91" s="368"/>
      <c r="DR91" s="368"/>
      <c r="DS91" s="368"/>
      <c r="DT91" s="365"/>
      <c r="DU91" s="366"/>
      <c r="DV91" s="367"/>
      <c r="DW91" s="248"/>
      <c r="DX91" s="205"/>
      <c r="DY91" s="205"/>
      <c r="DZ91" s="205"/>
      <c r="EA91" s="205"/>
      <c r="EB91" s="205"/>
      <c r="EC91" s="297"/>
      <c r="ED91" s="297"/>
      <c r="EE91" s="297"/>
      <c r="EF91" s="298"/>
      <c r="EG91" s="205"/>
      <c r="EH91" s="205"/>
      <c r="EI91" s="205"/>
      <c r="EJ91" s="205"/>
      <c r="EK91" s="205"/>
      <c r="EL91" s="299"/>
      <c r="EM91" s="299"/>
      <c r="EN91" s="205"/>
      <c r="EO91" s="205"/>
      <c r="EP91" s="205"/>
      <c r="EQ91" s="205"/>
      <c r="ER91" s="364"/>
      <c r="ES91" s="364"/>
      <c r="ET91" s="364"/>
      <c r="EU91" s="364"/>
      <c r="EV91" s="205"/>
      <c r="EW91" s="205"/>
      <c r="EX91" s="205"/>
      <c r="EY91" s="205"/>
      <c r="EZ91" s="205"/>
      <c r="FA91" s="205"/>
      <c r="FB91" s="205"/>
      <c r="FC91" s="205"/>
      <c r="FD91" s="205"/>
      <c r="FE91" s="205"/>
      <c r="FF91" s="299"/>
      <c r="FG91" s="299"/>
      <c r="FH91" s="299"/>
      <c r="FI91" s="299"/>
      <c r="FJ91" s="299"/>
      <c r="FK91" s="299"/>
      <c r="FL91" s="299"/>
      <c r="FM91" s="299"/>
      <c r="FN91" s="299"/>
      <c r="FO91" s="299"/>
      <c r="FP91" s="299"/>
      <c r="FQ91" s="299"/>
      <c r="FR91" s="299"/>
      <c r="FS91" s="299"/>
      <c r="FT91" s="299"/>
      <c r="FU91" s="205"/>
      <c r="FV91" s="205"/>
      <c r="FW91" s="249"/>
      <c r="FX91" s="368"/>
      <c r="FY91" s="368"/>
      <c r="FZ91" s="368"/>
      <c r="GA91" s="368"/>
      <c r="GB91" s="368"/>
      <c r="GC91" s="368"/>
      <c r="GD91" s="368"/>
      <c r="GE91" s="365"/>
      <c r="GF91" s="366"/>
      <c r="GG91" s="367"/>
      <c r="GH91" s="248"/>
      <c r="GI91" s="205"/>
      <c r="GJ91" s="205"/>
      <c r="GK91" s="205"/>
      <c r="GL91" s="205"/>
      <c r="GM91" s="205"/>
      <c r="GN91" s="297"/>
      <c r="GO91" s="297"/>
      <c r="GP91" s="297"/>
      <c r="GQ91" s="298"/>
      <c r="GR91" s="205"/>
      <c r="GS91" s="205"/>
      <c r="GT91" s="205"/>
      <c r="GU91" s="205"/>
      <c r="GV91" s="205"/>
      <c r="GW91" s="299"/>
      <c r="GX91" s="299"/>
      <c r="GY91" s="205"/>
      <c r="GZ91" s="205"/>
      <c r="HA91" s="205"/>
      <c r="HB91" s="205"/>
      <c r="HC91" s="364"/>
      <c r="HD91" s="364"/>
      <c r="HE91" s="364"/>
      <c r="HF91" s="364"/>
      <c r="HG91" s="205"/>
      <c r="HH91" s="205"/>
      <c r="HI91" s="205"/>
      <c r="HJ91" s="205"/>
      <c r="HK91" s="205"/>
      <c r="HL91" s="205"/>
      <c r="HM91" s="205"/>
      <c r="HN91" s="205"/>
      <c r="HO91" s="205"/>
      <c r="HP91" s="205"/>
      <c r="HQ91" s="299"/>
      <c r="HR91" s="299"/>
      <c r="HS91" s="299"/>
      <c r="HT91" s="299"/>
      <c r="HU91" s="299"/>
      <c r="HV91" s="299"/>
      <c r="HW91" s="299"/>
      <c r="HX91" s="299"/>
      <c r="HY91" s="299"/>
      <c r="HZ91" s="299"/>
      <c r="IA91" s="299"/>
      <c r="IB91" s="299"/>
      <c r="IC91" s="299"/>
      <c r="ID91" s="299"/>
      <c r="IE91" s="299"/>
      <c r="IF91" s="205"/>
      <c r="IG91" s="205"/>
      <c r="IH91" s="249"/>
      <c r="II91" s="368"/>
      <c r="IJ91" s="368"/>
      <c r="IK91" s="368"/>
      <c r="IL91" s="368"/>
      <c r="IM91" s="368"/>
      <c r="IN91" s="368"/>
      <c r="IO91" s="368"/>
      <c r="IP91" s="365"/>
      <c r="IQ91" s="366"/>
      <c r="IR91" s="367"/>
      <c r="IS91" s="248"/>
      <c r="IT91" s="205"/>
      <c r="IU91" s="205"/>
      <c r="IV91" s="205"/>
    </row>
    <row r="92" spans="1:256" ht="12.75">
      <c r="A92" s="248">
        <f t="shared" si="1"/>
        <v>91</v>
      </c>
      <c r="B92" t="s">
        <v>21</v>
      </c>
      <c r="C92" t="s">
        <v>110</v>
      </c>
      <c r="D92" t="s">
        <v>483</v>
      </c>
      <c r="E92">
        <v>2011</v>
      </c>
      <c r="F92" t="s">
        <v>204</v>
      </c>
      <c r="G92" s="387">
        <v>1.3</v>
      </c>
      <c r="H92" s="387">
        <v>4.3</v>
      </c>
      <c r="I92" s="387">
        <v>6</v>
      </c>
      <c r="J92" s="387">
        <v>4.0278744513913</v>
      </c>
      <c r="K92"/>
      <c r="L92">
        <v>1250</v>
      </c>
      <c r="M92">
        <v>2010</v>
      </c>
      <c r="N92">
        <v>2011</v>
      </c>
      <c r="O92">
        <v>2030</v>
      </c>
      <c r="P92" s="387">
        <v>200</v>
      </c>
      <c r="Q92" s="384">
        <v>160</v>
      </c>
      <c r="R92">
        <v>80</v>
      </c>
      <c r="S92">
        <v>500</v>
      </c>
      <c r="T92">
        <v>570</v>
      </c>
      <c r="U92">
        <v>100</v>
      </c>
      <c r="V92" s="384">
        <v>6.4</v>
      </c>
      <c r="W92" s="384">
        <v>40</v>
      </c>
      <c r="X92" s="384">
        <v>45.6</v>
      </c>
      <c r="Y92" s="384">
        <v>8</v>
      </c>
      <c r="Z92">
        <v>690</v>
      </c>
      <c r="AA92">
        <v>1520</v>
      </c>
      <c r="AB92">
        <v>80</v>
      </c>
      <c r="AC92">
        <v>310</v>
      </c>
      <c r="AD92">
        <v>270</v>
      </c>
      <c r="AE92">
        <v>30</v>
      </c>
      <c r="AF92">
        <v>120</v>
      </c>
      <c r="AG92">
        <v>600</v>
      </c>
      <c r="AH92">
        <v>690</v>
      </c>
      <c r="AI92">
        <v>110</v>
      </c>
      <c r="AJ92">
        <v>30</v>
      </c>
      <c r="AK92">
        <v>210</v>
      </c>
      <c r="AL92">
        <v>30</v>
      </c>
      <c r="AM92">
        <v>150</v>
      </c>
      <c r="AN92">
        <v>160</v>
      </c>
      <c r="AO92">
        <v>0</v>
      </c>
      <c r="AP92">
        <v>530</v>
      </c>
      <c r="AQ92">
        <v>160</v>
      </c>
      <c r="AR92">
        <v>270</v>
      </c>
      <c r="AS92">
        <v>330</v>
      </c>
      <c r="AT92">
        <v>0</v>
      </c>
      <c r="AU92">
        <v>430</v>
      </c>
      <c r="AV92">
        <v>140</v>
      </c>
      <c r="AW92">
        <v>230</v>
      </c>
      <c r="AX92">
        <v>270</v>
      </c>
      <c r="AY92">
        <v>240</v>
      </c>
      <c r="AZ92">
        <v>530</v>
      </c>
      <c r="BA92">
        <v>430</v>
      </c>
      <c r="BB92" s="384">
        <v>0</v>
      </c>
      <c r="BC92" s="384">
        <v>0</v>
      </c>
      <c r="BD92" s="384">
        <v>40</v>
      </c>
      <c r="BE92" s="384">
        <v>20</v>
      </c>
      <c r="BF92" s="384">
        <v>40</v>
      </c>
      <c r="BG92" s="384">
        <v>70</v>
      </c>
      <c r="BH92" s="384">
        <v>30</v>
      </c>
      <c r="BI92" s="384">
        <v>110</v>
      </c>
      <c r="BJ92" s="384">
        <v>60</v>
      </c>
      <c r="BK92" s="384">
        <v>40</v>
      </c>
      <c r="BL92" s="248"/>
      <c r="BM92" s="205"/>
      <c r="BN92" s="205"/>
      <c r="BO92" s="205"/>
      <c r="BP92" s="205"/>
      <c r="BQ92" s="205"/>
      <c r="BR92" s="297"/>
      <c r="BS92" s="297"/>
      <c r="BT92" s="297"/>
      <c r="BU92" s="298"/>
      <c r="BV92" s="205"/>
      <c r="BW92" s="205"/>
      <c r="BX92" s="205"/>
      <c r="BY92" s="205"/>
      <c r="BZ92" s="205"/>
      <c r="CA92" s="299"/>
      <c r="CB92" s="299"/>
      <c r="CC92" s="205"/>
      <c r="CD92" s="205"/>
      <c r="CE92" s="205"/>
      <c r="CF92" s="205"/>
      <c r="CG92" s="364"/>
      <c r="CH92" s="364"/>
      <c r="CI92" s="364"/>
      <c r="CJ92" s="364"/>
      <c r="CK92" s="205"/>
      <c r="CL92" s="205"/>
      <c r="CM92" s="205"/>
      <c r="CN92" s="205"/>
      <c r="CO92" s="205"/>
      <c r="CP92" s="205"/>
      <c r="CQ92" s="205"/>
      <c r="CR92" s="205"/>
      <c r="CS92" s="205"/>
      <c r="CT92" s="205"/>
      <c r="CU92" s="299"/>
      <c r="CV92" s="299"/>
      <c r="CW92" s="299"/>
      <c r="CX92" s="299"/>
      <c r="CY92" s="299"/>
      <c r="CZ92" s="299"/>
      <c r="DA92" s="299"/>
      <c r="DB92" s="299"/>
      <c r="DC92" s="299"/>
      <c r="DD92" s="299"/>
      <c r="DE92" s="299"/>
      <c r="DF92" s="299"/>
      <c r="DG92" s="299"/>
      <c r="DH92" s="299"/>
      <c r="DI92" s="299"/>
      <c r="DJ92" s="205"/>
      <c r="DK92" s="205"/>
      <c r="DL92" s="249"/>
      <c r="DM92" s="368"/>
      <c r="DN92" s="368"/>
      <c r="DO92" s="368"/>
      <c r="DP92" s="368"/>
      <c r="DQ92" s="368"/>
      <c r="DR92" s="368"/>
      <c r="DS92" s="368"/>
      <c r="DT92" s="365"/>
      <c r="DU92" s="366"/>
      <c r="DV92" s="367"/>
      <c r="DW92" s="248"/>
      <c r="DX92" s="205"/>
      <c r="DY92" s="205"/>
      <c r="DZ92" s="205"/>
      <c r="EA92" s="205"/>
      <c r="EB92" s="205"/>
      <c r="EC92" s="297"/>
      <c r="ED92" s="297"/>
      <c r="EE92" s="297"/>
      <c r="EF92" s="298"/>
      <c r="EG92" s="205"/>
      <c r="EH92" s="205"/>
      <c r="EI92" s="205"/>
      <c r="EJ92" s="205"/>
      <c r="EK92" s="205"/>
      <c r="EL92" s="299"/>
      <c r="EM92" s="299"/>
      <c r="EN92" s="205"/>
      <c r="EO92" s="205"/>
      <c r="EP92" s="205"/>
      <c r="EQ92" s="205"/>
      <c r="ER92" s="364"/>
      <c r="ES92" s="364"/>
      <c r="ET92" s="364"/>
      <c r="EU92" s="364"/>
      <c r="EV92" s="205"/>
      <c r="EW92" s="205"/>
      <c r="EX92" s="205"/>
      <c r="EY92" s="205"/>
      <c r="EZ92" s="205"/>
      <c r="FA92" s="205"/>
      <c r="FB92" s="205"/>
      <c r="FC92" s="205"/>
      <c r="FD92" s="205"/>
      <c r="FE92" s="205"/>
      <c r="FF92" s="299"/>
      <c r="FG92" s="299"/>
      <c r="FH92" s="299"/>
      <c r="FI92" s="299"/>
      <c r="FJ92" s="299"/>
      <c r="FK92" s="299"/>
      <c r="FL92" s="299"/>
      <c r="FM92" s="299"/>
      <c r="FN92" s="299"/>
      <c r="FO92" s="299"/>
      <c r="FP92" s="299"/>
      <c r="FQ92" s="299"/>
      <c r="FR92" s="299"/>
      <c r="FS92" s="299"/>
      <c r="FT92" s="299"/>
      <c r="FU92" s="205"/>
      <c r="FV92" s="205"/>
      <c r="FW92" s="249"/>
      <c r="FX92" s="368"/>
      <c r="FY92" s="368"/>
      <c r="FZ92" s="368"/>
      <c r="GA92" s="368"/>
      <c r="GB92" s="368"/>
      <c r="GC92" s="368"/>
      <c r="GD92" s="368"/>
      <c r="GE92" s="365"/>
      <c r="GF92" s="366"/>
      <c r="GG92" s="367"/>
      <c r="GH92" s="248"/>
      <c r="GI92" s="205"/>
      <c r="GJ92" s="205"/>
      <c r="GK92" s="205"/>
      <c r="GL92" s="205"/>
      <c r="GM92" s="205"/>
      <c r="GN92" s="297"/>
      <c r="GO92" s="297"/>
      <c r="GP92" s="297"/>
      <c r="GQ92" s="298"/>
      <c r="GR92" s="205"/>
      <c r="GS92" s="205"/>
      <c r="GT92" s="205"/>
      <c r="GU92" s="205"/>
      <c r="GV92" s="205"/>
      <c r="GW92" s="299"/>
      <c r="GX92" s="299"/>
      <c r="GY92" s="205"/>
      <c r="GZ92" s="205"/>
      <c r="HA92" s="205"/>
      <c r="HB92" s="205"/>
      <c r="HC92" s="364"/>
      <c r="HD92" s="364"/>
      <c r="HE92" s="364"/>
      <c r="HF92" s="364"/>
      <c r="HG92" s="205"/>
      <c r="HH92" s="205"/>
      <c r="HI92" s="205"/>
      <c r="HJ92" s="205"/>
      <c r="HK92" s="205"/>
      <c r="HL92" s="205"/>
      <c r="HM92" s="205"/>
      <c r="HN92" s="205"/>
      <c r="HO92" s="205"/>
      <c r="HP92" s="205"/>
      <c r="HQ92" s="299"/>
      <c r="HR92" s="299"/>
      <c r="HS92" s="299"/>
      <c r="HT92" s="299"/>
      <c r="HU92" s="299"/>
      <c r="HV92" s="299"/>
      <c r="HW92" s="299"/>
      <c r="HX92" s="299"/>
      <c r="HY92" s="299"/>
      <c r="HZ92" s="299"/>
      <c r="IA92" s="299"/>
      <c r="IB92" s="299"/>
      <c r="IC92" s="299"/>
      <c r="ID92" s="299"/>
      <c r="IE92" s="299"/>
      <c r="IF92" s="205"/>
      <c r="IG92" s="205"/>
      <c r="IH92" s="249"/>
      <c r="II92" s="368"/>
      <c r="IJ92" s="368"/>
      <c r="IK92" s="368"/>
      <c r="IL92" s="368"/>
      <c r="IM92" s="368"/>
      <c r="IN92" s="368"/>
      <c r="IO92" s="368"/>
      <c r="IP92" s="365"/>
      <c r="IQ92" s="366"/>
      <c r="IR92" s="367"/>
      <c r="IS92" s="248"/>
      <c r="IT92" s="205"/>
      <c r="IU92" s="205"/>
      <c r="IV92" s="205"/>
    </row>
    <row r="93" spans="1:256" ht="12.75">
      <c r="A93" s="248">
        <f t="shared" si="1"/>
        <v>92</v>
      </c>
      <c r="B93" t="s">
        <v>20</v>
      </c>
      <c r="C93" t="s">
        <v>111</v>
      </c>
      <c r="D93" t="s">
        <v>483</v>
      </c>
      <c r="E93">
        <v>2011</v>
      </c>
      <c r="F93" t="s">
        <v>204</v>
      </c>
      <c r="G93" s="387">
        <v>4.4</v>
      </c>
      <c r="H93" s="387">
        <v>6.6</v>
      </c>
      <c r="I93" s="387">
        <v>6.1</v>
      </c>
      <c r="J93" s="387">
        <v>5.6467308549537965</v>
      </c>
      <c r="K93"/>
      <c r="L93">
        <v>2750</v>
      </c>
      <c r="M93">
        <v>2010</v>
      </c>
      <c r="N93">
        <v>2011</v>
      </c>
      <c r="O93">
        <v>2030</v>
      </c>
      <c r="P93" s="387">
        <v>410</v>
      </c>
      <c r="Q93" s="384">
        <v>150</v>
      </c>
      <c r="R93">
        <v>130</v>
      </c>
      <c r="S93">
        <v>850</v>
      </c>
      <c r="T93">
        <v>1720</v>
      </c>
      <c r="U93">
        <v>50</v>
      </c>
      <c r="V93" s="384">
        <v>4.7272727272727275</v>
      </c>
      <c r="W93" s="384">
        <v>30.909090909090907</v>
      </c>
      <c r="X93" s="420">
        <v>62</v>
      </c>
      <c r="Y93" s="384">
        <v>1.8181818181818181</v>
      </c>
      <c r="Z93">
        <v>1050</v>
      </c>
      <c r="AA93">
        <v>3150</v>
      </c>
      <c r="AB93">
        <v>130</v>
      </c>
      <c r="AC93">
        <v>300</v>
      </c>
      <c r="AD93">
        <v>600</v>
      </c>
      <c r="AE93">
        <v>20</v>
      </c>
      <c r="AF93">
        <v>190</v>
      </c>
      <c r="AG93">
        <v>880</v>
      </c>
      <c r="AH93">
        <v>2030</v>
      </c>
      <c r="AI93">
        <v>50</v>
      </c>
      <c r="AJ93">
        <v>50</v>
      </c>
      <c r="AK93">
        <v>480</v>
      </c>
      <c r="AL93">
        <v>70</v>
      </c>
      <c r="AM93">
        <v>40</v>
      </c>
      <c r="AN93">
        <v>260</v>
      </c>
      <c r="AO93">
        <v>30</v>
      </c>
      <c r="AP93">
        <v>1450</v>
      </c>
      <c r="AQ93">
        <v>550</v>
      </c>
      <c r="AR93">
        <v>240</v>
      </c>
      <c r="AS93">
        <v>640</v>
      </c>
      <c r="AT93">
        <v>30</v>
      </c>
      <c r="AU93">
        <v>1210</v>
      </c>
      <c r="AV93">
        <v>480</v>
      </c>
      <c r="AW93">
        <v>230</v>
      </c>
      <c r="AX93">
        <v>620</v>
      </c>
      <c r="AY93">
        <v>530</v>
      </c>
      <c r="AZ93">
        <v>1480</v>
      </c>
      <c r="BA93">
        <v>1240</v>
      </c>
      <c r="BB93" s="384">
        <v>0</v>
      </c>
      <c r="BC93" s="384">
        <v>0</v>
      </c>
      <c r="BD93" s="384">
        <v>100</v>
      </c>
      <c r="BE93" s="384">
        <v>50</v>
      </c>
      <c r="BF93" s="384">
        <v>50</v>
      </c>
      <c r="BG93" s="384">
        <v>170</v>
      </c>
      <c r="BH93" s="384">
        <v>40</v>
      </c>
      <c r="BI93" s="384">
        <v>220</v>
      </c>
      <c r="BJ93" s="384">
        <v>150</v>
      </c>
      <c r="BK93" s="384">
        <v>100</v>
      </c>
      <c r="BL93" s="248"/>
      <c r="BM93" s="205"/>
      <c r="BN93" s="205"/>
      <c r="BO93" s="205"/>
      <c r="BP93" s="205"/>
      <c r="BQ93" s="205"/>
      <c r="BR93" s="297"/>
      <c r="BS93" s="297"/>
      <c r="BT93" s="297"/>
      <c r="BU93" s="298"/>
      <c r="BV93" s="205"/>
      <c r="BW93" s="205"/>
      <c r="BX93" s="205"/>
      <c r="BY93" s="205"/>
      <c r="BZ93" s="205"/>
      <c r="CA93" s="299"/>
      <c r="CB93" s="299"/>
      <c r="CC93" s="205"/>
      <c r="CD93" s="205"/>
      <c r="CE93" s="205"/>
      <c r="CF93" s="205"/>
      <c r="CG93" s="364"/>
      <c r="CH93" s="364"/>
      <c r="CI93" s="364"/>
      <c r="CJ93" s="364"/>
      <c r="CK93" s="205"/>
      <c r="CL93" s="205"/>
      <c r="CM93" s="205"/>
      <c r="CN93" s="205"/>
      <c r="CO93" s="205"/>
      <c r="CP93" s="205"/>
      <c r="CQ93" s="205"/>
      <c r="CR93" s="205"/>
      <c r="CS93" s="205"/>
      <c r="CT93" s="205"/>
      <c r="CU93" s="299"/>
      <c r="CV93" s="299"/>
      <c r="CW93" s="299"/>
      <c r="CX93" s="299"/>
      <c r="CY93" s="299"/>
      <c r="CZ93" s="299"/>
      <c r="DA93" s="299"/>
      <c r="DB93" s="299"/>
      <c r="DC93" s="299"/>
      <c r="DD93" s="299"/>
      <c r="DE93" s="299"/>
      <c r="DF93" s="299"/>
      <c r="DG93" s="299"/>
      <c r="DH93" s="299"/>
      <c r="DI93" s="299"/>
      <c r="DJ93" s="205"/>
      <c r="DK93" s="205"/>
      <c r="DL93" s="249"/>
      <c r="DM93" s="368"/>
      <c r="DN93" s="368"/>
      <c r="DO93" s="368"/>
      <c r="DP93" s="368"/>
      <c r="DQ93" s="368"/>
      <c r="DR93" s="368"/>
      <c r="DS93" s="368"/>
      <c r="DT93" s="365"/>
      <c r="DU93" s="366"/>
      <c r="DV93" s="367"/>
      <c r="DW93" s="248"/>
      <c r="DX93" s="205"/>
      <c r="DY93" s="205"/>
      <c r="DZ93" s="205"/>
      <c r="EA93" s="205"/>
      <c r="EB93" s="205"/>
      <c r="EC93" s="297"/>
      <c r="ED93" s="297"/>
      <c r="EE93" s="297"/>
      <c r="EF93" s="298"/>
      <c r="EG93" s="205"/>
      <c r="EH93" s="205"/>
      <c r="EI93" s="205"/>
      <c r="EJ93" s="205"/>
      <c r="EK93" s="205"/>
      <c r="EL93" s="299"/>
      <c r="EM93" s="299"/>
      <c r="EN93" s="205"/>
      <c r="EO93" s="205"/>
      <c r="EP93" s="205"/>
      <c r="EQ93" s="205"/>
      <c r="ER93" s="364"/>
      <c r="ES93" s="364"/>
      <c r="ET93" s="364"/>
      <c r="EU93" s="364"/>
      <c r="EV93" s="205"/>
      <c r="EW93" s="205"/>
      <c r="EX93" s="205"/>
      <c r="EY93" s="205"/>
      <c r="EZ93" s="205"/>
      <c r="FA93" s="205"/>
      <c r="FB93" s="205"/>
      <c r="FC93" s="205"/>
      <c r="FD93" s="205"/>
      <c r="FE93" s="205"/>
      <c r="FF93" s="299"/>
      <c r="FG93" s="299"/>
      <c r="FH93" s="299"/>
      <c r="FI93" s="299"/>
      <c r="FJ93" s="299"/>
      <c r="FK93" s="299"/>
      <c r="FL93" s="299"/>
      <c r="FM93" s="299"/>
      <c r="FN93" s="299"/>
      <c r="FO93" s="299"/>
      <c r="FP93" s="299"/>
      <c r="FQ93" s="299"/>
      <c r="FR93" s="299"/>
      <c r="FS93" s="299"/>
      <c r="FT93" s="299"/>
      <c r="FU93" s="205"/>
      <c r="FV93" s="205"/>
      <c r="FW93" s="249"/>
      <c r="FX93" s="368"/>
      <c r="FY93" s="368"/>
      <c r="FZ93" s="368"/>
      <c r="GA93" s="368"/>
      <c r="GB93" s="368"/>
      <c r="GC93" s="368"/>
      <c r="GD93" s="368"/>
      <c r="GE93" s="365"/>
      <c r="GF93" s="366"/>
      <c r="GG93" s="367"/>
      <c r="GH93" s="248"/>
      <c r="GI93" s="205"/>
      <c r="GJ93" s="205"/>
      <c r="GK93" s="205"/>
      <c r="GL93" s="205"/>
      <c r="GM93" s="205"/>
      <c r="GN93" s="297"/>
      <c r="GO93" s="297"/>
      <c r="GP93" s="297"/>
      <c r="GQ93" s="298"/>
      <c r="GR93" s="205"/>
      <c r="GS93" s="205"/>
      <c r="GT93" s="205"/>
      <c r="GU93" s="205"/>
      <c r="GV93" s="205"/>
      <c r="GW93" s="299"/>
      <c r="GX93" s="299"/>
      <c r="GY93" s="205"/>
      <c r="GZ93" s="205"/>
      <c r="HA93" s="205"/>
      <c r="HB93" s="205"/>
      <c r="HC93" s="364"/>
      <c r="HD93" s="364"/>
      <c r="HE93" s="364"/>
      <c r="HF93" s="364"/>
      <c r="HG93" s="205"/>
      <c r="HH93" s="205"/>
      <c r="HI93" s="205"/>
      <c r="HJ93" s="205"/>
      <c r="HK93" s="205"/>
      <c r="HL93" s="205"/>
      <c r="HM93" s="205"/>
      <c r="HN93" s="205"/>
      <c r="HO93" s="205"/>
      <c r="HP93" s="205"/>
      <c r="HQ93" s="299"/>
      <c r="HR93" s="299"/>
      <c r="HS93" s="299"/>
      <c r="HT93" s="299"/>
      <c r="HU93" s="299"/>
      <c r="HV93" s="299"/>
      <c r="HW93" s="299"/>
      <c r="HX93" s="299"/>
      <c r="HY93" s="299"/>
      <c r="HZ93" s="299"/>
      <c r="IA93" s="299"/>
      <c r="IB93" s="299"/>
      <c r="IC93" s="299"/>
      <c r="ID93" s="299"/>
      <c r="IE93" s="299"/>
      <c r="IF93" s="205"/>
      <c r="IG93" s="205"/>
      <c r="IH93" s="249"/>
      <c r="II93" s="368"/>
      <c r="IJ93" s="368"/>
      <c r="IK93" s="368"/>
      <c r="IL93" s="368"/>
      <c r="IM93" s="368"/>
      <c r="IN93" s="368"/>
      <c r="IO93" s="368"/>
      <c r="IP93" s="365"/>
      <c r="IQ93" s="366"/>
      <c r="IR93" s="367"/>
      <c r="IS93" s="248"/>
      <c r="IT93" s="205"/>
      <c r="IU93" s="205"/>
      <c r="IV93" s="205"/>
    </row>
    <row r="94" spans="1:256" ht="12.75">
      <c r="A94" s="248">
        <f t="shared" si="1"/>
        <v>93</v>
      </c>
      <c r="B94" t="s">
        <v>28</v>
      </c>
      <c r="C94" t="s">
        <v>57</v>
      </c>
      <c r="D94" t="s">
        <v>57</v>
      </c>
      <c r="E94">
        <v>2011</v>
      </c>
      <c r="F94" t="s">
        <v>204</v>
      </c>
      <c r="G94" s="387">
        <v>3.4</v>
      </c>
      <c r="H94" s="387">
        <v>4.3</v>
      </c>
      <c r="I94" s="387">
        <v>5.4</v>
      </c>
      <c r="J94" s="387">
        <v>1.0325138859215155</v>
      </c>
      <c r="K94"/>
      <c r="L94">
        <v>1080</v>
      </c>
      <c r="M94">
        <v>2010</v>
      </c>
      <c r="N94">
        <v>2011</v>
      </c>
      <c r="O94">
        <v>2030</v>
      </c>
      <c r="P94" s="387">
        <v>110</v>
      </c>
      <c r="Q94" s="384">
        <v>100</v>
      </c>
      <c r="R94">
        <v>40</v>
      </c>
      <c r="S94">
        <v>200</v>
      </c>
      <c r="T94">
        <v>680</v>
      </c>
      <c r="U94">
        <v>160</v>
      </c>
      <c r="V94" s="384">
        <v>3.7037037037037033</v>
      </c>
      <c r="W94" s="420">
        <v>18</v>
      </c>
      <c r="X94" s="384">
        <v>62.96296296296296</v>
      </c>
      <c r="Y94" s="384">
        <v>14.814814814814813</v>
      </c>
      <c r="Z94">
        <v>1140</v>
      </c>
      <c r="AA94">
        <v>1400</v>
      </c>
      <c r="AB94">
        <v>50</v>
      </c>
      <c r="AC94">
        <v>200</v>
      </c>
      <c r="AD94">
        <v>630</v>
      </c>
      <c r="AE94">
        <v>260</v>
      </c>
      <c r="AF94">
        <v>50</v>
      </c>
      <c r="AG94">
        <v>250</v>
      </c>
      <c r="AH94">
        <v>930</v>
      </c>
      <c r="AI94">
        <v>170</v>
      </c>
      <c r="AJ94">
        <v>180</v>
      </c>
      <c r="AK94">
        <v>370</v>
      </c>
      <c r="AL94">
        <v>80</v>
      </c>
      <c r="AM94">
        <v>180</v>
      </c>
      <c r="AN94">
        <v>20</v>
      </c>
      <c r="AO94">
        <v>150</v>
      </c>
      <c r="AP94">
        <v>590</v>
      </c>
      <c r="AQ94">
        <v>190</v>
      </c>
      <c r="AR94">
        <v>190</v>
      </c>
      <c r="AS94">
        <v>60</v>
      </c>
      <c r="AT94">
        <v>140</v>
      </c>
      <c r="AU94">
        <v>400</v>
      </c>
      <c r="AV94">
        <v>140</v>
      </c>
      <c r="AW94">
        <v>140</v>
      </c>
      <c r="AX94">
        <v>60</v>
      </c>
      <c r="AY94">
        <v>550</v>
      </c>
      <c r="AZ94">
        <v>740</v>
      </c>
      <c r="BA94">
        <v>540</v>
      </c>
      <c r="BB94" s="384">
        <v>10</v>
      </c>
      <c r="BC94" s="384">
        <v>10</v>
      </c>
      <c r="BD94" s="384">
        <v>40</v>
      </c>
      <c r="BE94" s="384">
        <v>10</v>
      </c>
      <c r="BF94" s="384">
        <v>20</v>
      </c>
      <c r="BG94" s="384">
        <v>10</v>
      </c>
      <c r="BH94" s="384">
        <v>10</v>
      </c>
      <c r="BI94" s="384">
        <v>30</v>
      </c>
      <c r="BJ94" s="384">
        <v>60</v>
      </c>
      <c r="BK94" s="384">
        <v>50</v>
      </c>
      <c r="BL94" s="248"/>
      <c r="BM94" s="205"/>
      <c r="BN94" s="205"/>
      <c r="BO94" s="205"/>
      <c r="BP94" s="205"/>
      <c r="BQ94" s="205"/>
      <c r="BR94" s="297"/>
      <c r="BS94" s="297"/>
      <c r="BT94" s="297"/>
      <c r="BU94" s="298"/>
      <c r="BV94" s="205"/>
      <c r="BW94" s="205"/>
      <c r="BX94" s="205"/>
      <c r="BY94" s="205"/>
      <c r="BZ94" s="205"/>
      <c r="CA94" s="299"/>
      <c r="CB94" s="299"/>
      <c r="CC94" s="205"/>
      <c r="CD94" s="205"/>
      <c r="CE94" s="205"/>
      <c r="CF94" s="205"/>
      <c r="CG94" s="364"/>
      <c r="CH94" s="364"/>
      <c r="CI94" s="364"/>
      <c r="CJ94" s="364"/>
      <c r="CK94" s="205"/>
      <c r="CL94" s="205"/>
      <c r="CM94" s="205"/>
      <c r="CN94" s="205"/>
      <c r="CO94" s="205"/>
      <c r="CP94" s="205"/>
      <c r="CQ94" s="205"/>
      <c r="CR94" s="205"/>
      <c r="CS94" s="205"/>
      <c r="CT94" s="205"/>
      <c r="CU94" s="299"/>
      <c r="CV94" s="299"/>
      <c r="CW94" s="299"/>
      <c r="CX94" s="299"/>
      <c r="CY94" s="299"/>
      <c r="CZ94" s="299"/>
      <c r="DA94" s="299"/>
      <c r="DB94" s="299"/>
      <c r="DC94" s="299"/>
      <c r="DD94" s="299"/>
      <c r="DE94" s="299"/>
      <c r="DF94" s="299"/>
      <c r="DG94" s="299"/>
      <c r="DH94" s="299"/>
      <c r="DI94" s="299"/>
      <c r="DJ94" s="205"/>
      <c r="DK94" s="205"/>
      <c r="DL94" s="249"/>
      <c r="DM94" s="368"/>
      <c r="DN94" s="368"/>
      <c r="DO94" s="368"/>
      <c r="DP94" s="368"/>
      <c r="DQ94" s="368"/>
      <c r="DR94" s="368"/>
      <c r="DS94" s="368"/>
      <c r="DT94" s="365"/>
      <c r="DU94" s="366"/>
      <c r="DV94" s="367"/>
      <c r="DW94" s="248"/>
      <c r="DX94" s="205"/>
      <c r="DY94" s="205"/>
      <c r="DZ94" s="205"/>
      <c r="EA94" s="205"/>
      <c r="EB94" s="205"/>
      <c r="EC94" s="297"/>
      <c r="ED94" s="297"/>
      <c r="EE94" s="297"/>
      <c r="EF94" s="298"/>
      <c r="EG94" s="205"/>
      <c r="EH94" s="205"/>
      <c r="EI94" s="205"/>
      <c r="EJ94" s="205"/>
      <c r="EK94" s="205"/>
      <c r="EL94" s="299"/>
      <c r="EM94" s="299"/>
      <c r="EN94" s="205"/>
      <c r="EO94" s="205"/>
      <c r="EP94" s="205"/>
      <c r="EQ94" s="205"/>
      <c r="ER94" s="364"/>
      <c r="ES94" s="364"/>
      <c r="ET94" s="364"/>
      <c r="EU94" s="364"/>
      <c r="EV94" s="205"/>
      <c r="EW94" s="205"/>
      <c r="EX94" s="205"/>
      <c r="EY94" s="205"/>
      <c r="EZ94" s="205"/>
      <c r="FA94" s="205"/>
      <c r="FB94" s="205"/>
      <c r="FC94" s="205"/>
      <c r="FD94" s="205"/>
      <c r="FE94" s="205"/>
      <c r="FF94" s="299"/>
      <c r="FG94" s="299"/>
      <c r="FH94" s="299"/>
      <c r="FI94" s="299"/>
      <c r="FJ94" s="299"/>
      <c r="FK94" s="299"/>
      <c r="FL94" s="299"/>
      <c r="FM94" s="299"/>
      <c r="FN94" s="299"/>
      <c r="FO94" s="299"/>
      <c r="FP94" s="299"/>
      <c r="FQ94" s="299"/>
      <c r="FR94" s="299"/>
      <c r="FS94" s="299"/>
      <c r="FT94" s="299"/>
      <c r="FU94" s="205"/>
      <c r="FV94" s="205"/>
      <c r="FW94" s="249"/>
      <c r="FX94" s="368"/>
      <c r="FY94" s="368"/>
      <c r="FZ94" s="368"/>
      <c r="GA94" s="368"/>
      <c r="GB94" s="368"/>
      <c r="GC94" s="368"/>
      <c r="GD94" s="368"/>
      <c r="GE94" s="365"/>
      <c r="GF94" s="366"/>
      <c r="GG94" s="367"/>
      <c r="GH94" s="248"/>
      <c r="GI94" s="205"/>
      <c r="GJ94" s="205"/>
      <c r="GK94" s="205"/>
      <c r="GL94" s="205"/>
      <c r="GM94" s="205"/>
      <c r="GN94" s="297"/>
      <c r="GO94" s="297"/>
      <c r="GP94" s="297"/>
      <c r="GQ94" s="298"/>
      <c r="GR94" s="205"/>
      <c r="GS94" s="205"/>
      <c r="GT94" s="205"/>
      <c r="GU94" s="205"/>
      <c r="GV94" s="205"/>
      <c r="GW94" s="299"/>
      <c r="GX94" s="299"/>
      <c r="GY94" s="205"/>
      <c r="GZ94" s="205"/>
      <c r="HA94" s="205"/>
      <c r="HB94" s="205"/>
      <c r="HC94" s="364"/>
      <c r="HD94" s="364"/>
      <c r="HE94" s="364"/>
      <c r="HF94" s="364"/>
      <c r="HG94" s="205"/>
      <c r="HH94" s="205"/>
      <c r="HI94" s="205"/>
      <c r="HJ94" s="205"/>
      <c r="HK94" s="205"/>
      <c r="HL94" s="205"/>
      <c r="HM94" s="205"/>
      <c r="HN94" s="205"/>
      <c r="HO94" s="205"/>
      <c r="HP94" s="205"/>
      <c r="HQ94" s="299"/>
      <c r="HR94" s="299"/>
      <c r="HS94" s="299"/>
      <c r="HT94" s="299"/>
      <c r="HU94" s="299"/>
      <c r="HV94" s="299"/>
      <c r="HW94" s="299"/>
      <c r="HX94" s="299"/>
      <c r="HY94" s="299"/>
      <c r="HZ94" s="299"/>
      <c r="IA94" s="299"/>
      <c r="IB94" s="299"/>
      <c r="IC94" s="299"/>
      <c r="ID94" s="299"/>
      <c r="IE94" s="299"/>
      <c r="IF94" s="205"/>
      <c r="IG94" s="205"/>
      <c r="IH94" s="249"/>
      <c r="II94" s="368"/>
      <c r="IJ94" s="368"/>
      <c r="IK94" s="368"/>
      <c r="IL94" s="368"/>
      <c r="IM94" s="368"/>
      <c r="IN94" s="368"/>
      <c r="IO94" s="368"/>
      <c r="IP94" s="365"/>
      <c r="IQ94" s="366"/>
      <c r="IR94" s="367"/>
      <c r="IS94" s="248"/>
      <c r="IT94" s="205"/>
      <c r="IU94" s="205"/>
      <c r="IV94" s="205"/>
    </row>
    <row r="95" spans="1:256" ht="12.75">
      <c r="A95" s="248">
        <v>94</v>
      </c>
      <c r="B95" t="s">
        <v>24</v>
      </c>
      <c r="C95" t="s">
        <v>102</v>
      </c>
      <c r="D95" t="s">
        <v>102</v>
      </c>
      <c r="E95">
        <v>2011</v>
      </c>
      <c r="F95" t="s">
        <v>204</v>
      </c>
      <c r="G95" s="387">
        <v>2</v>
      </c>
      <c r="H95" s="387">
        <v>4.3</v>
      </c>
      <c r="I95" s="387">
        <v>4.7</v>
      </c>
      <c r="J95" s="387">
        <v>3.064219870114604</v>
      </c>
      <c r="K95"/>
      <c r="L95">
        <v>7550</v>
      </c>
      <c r="M95">
        <v>2010</v>
      </c>
      <c r="N95">
        <v>2011</v>
      </c>
      <c r="O95">
        <v>2030</v>
      </c>
      <c r="P95" s="387">
        <v>880</v>
      </c>
      <c r="Q95" s="384">
        <v>120</v>
      </c>
      <c r="R95">
        <v>180</v>
      </c>
      <c r="S95">
        <v>1400</v>
      </c>
      <c r="T95">
        <v>5660</v>
      </c>
      <c r="U95">
        <v>310</v>
      </c>
      <c r="V95" s="384">
        <v>2.384105960264901</v>
      </c>
      <c r="W95" s="384">
        <v>18.543046357615893</v>
      </c>
      <c r="X95" s="384">
        <v>74.96688741721854</v>
      </c>
      <c r="Y95" s="384">
        <v>4.105960264900662</v>
      </c>
      <c r="Z95">
        <v>4380</v>
      </c>
      <c r="AA95">
        <v>8010</v>
      </c>
      <c r="AB95">
        <v>180</v>
      </c>
      <c r="AC95">
        <v>670</v>
      </c>
      <c r="AD95">
        <v>3090</v>
      </c>
      <c r="AE95">
        <v>440</v>
      </c>
      <c r="AF95">
        <v>220</v>
      </c>
      <c r="AG95">
        <v>1560</v>
      </c>
      <c r="AH95">
        <v>5920</v>
      </c>
      <c r="AI95">
        <v>310</v>
      </c>
      <c r="AJ95">
        <v>380</v>
      </c>
      <c r="AK95">
        <v>2280</v>
      </c>
      <c r="AL95">
        <v>430</v>
      </c>
      <c r="AM95">
        <v>250</v>
      </c>
      <c r="AN95">
        <v>420</v>
      </c>
      <c r="AO95">
        <v>560</v>
      </c>
      <c r="AP95">
        <v>4410</v>
      </c>
      <c r="AQ95">
        <v>950</v>
      </c>
      <c r="AR95">
        <v>690</v>
      </c>
      <c r="AS95">
        <v>870</v>
      </c>
      <c r="AT95">
        <v>520</v>
      </c>
      <c r="AU95">
        <v>4310</v>
      </c>
      <c r="AV95">
        <v>830</v>
      </c>
      <c r="AW95">
        <v>600</v>
      </c>
      <c r="AX95">
        <v>800</v>
      </c>
      <c r="AY95">
        <v>2660</v>
      </c>
      <c r="AZ95">
        <v>4970</v>
      </c>
      <c r="BA95">
        <v>4830</v>
      </c>
      <c r="BB95" s="384">
        <v>10</v>
      </c>
      <c r="BC95" s="384">
        <v>20</v>
      </c>
      <c r="BD95" s="384">
        <v>370</v>
      </c>
      <c r="BE95" s="384">
        <v>90</v>
      </c>
      <c r="BF95" s="384">
        <v>120</v>
      </c>
      <c r="BG95" s="384">
        <v>210</v>
      </c>
      <c r="BH95" s="384">
        <v>60</v>
      </c>
      <c r="BI95" s="384">
        <v>330</v>
      </c>
      <c r="BJ95" s="384">
        <v>480</v>
      </c>
      <c r="BK95" s="384">
        <v>390</v>
      </c>
      <c r="BL95" s="248"/>
      <c r="BM95" s="205"/>
      <c r="BN95" s="205"/>
      <c r="BO95" s="205"/>
      <c r="BP95" s="205"/>
      <c r="BQ95" s="205"/>
      <c r="BR95" s="297"/>
      <c r="BS95" s="297"/>
      <c r="BT95" s="297"/>
      <c r="BU95" s="298"/>
      <c r="BV95" s="205"/>
      <c r="BW95" s="205"/>
      <c r="BX95" s="205"/>
      <c r="BY95" s="205"/>
      <c r="BZ95" s="205"/>
      <c r="CA95" s="299"/>
      <c r="CB95" s="299"/>
      <c r="CC95" s="205"/>
      <c r="CD95" s="205"/>
      <c r="CE95" s="205"/>
      <c r="CF95" s="205"/>
      <c r="CG95" s="364"/>
      <c r="CH95" s="364"/>
      <c r="CI95" s="364"/>
      <c r="CJ95" s="364"/>
      <c r="CK95" s="205"/>
      <c r="CL95" s="205"/>
      <c r="CM95" s="205"/>
      <c r="CN95" s="205"/>
      <c r="CO95" s="205"/>
      <c r="CP95" s="205"/>
      <c r="CQ95" s="205"/>
      <c r="CR95" s="205"/>
      <c r="CS95" s="205"/>
      <c r="CT95" s="205"/>
      <c r="CU95" s="299"/>
      <c r="CV95" s="299"/>
      <c r="CW95" s="299"/>
      <c r="CX95" s="299"/>
      <c r="CY95" s="299"/>
      <c r="CZ95" s="299"/>
      <c r="DA95" s="299"/>
      <c r="DB95" s="299"/>
      <c r="DC95" s="299"/>
      <c r="DD95" s="299"/>
      <c r="DE95" s="299"/>
      <c r="DF95" s="299"/>
      <c r="DG95" s="299"/>
      <c r="DH95" s="299"/>
      <c r="DI95" s="299"/>
      <c r="DJ95" s="205"/>
      <c r="DK95" s="205"/>
      <c r="DL95" s="249"/>
      <c r="DM95" s="368"/>
      <c r="DN95" s="368"/>
      <c r="DO95" s="368"/>
      <c r="DP95" s="368"/>
      <c r="DQ95" s="368"/>
      <c r="DR95" s="368"/>
      <c r="DS95" s="368"/>
      <c r="DT95" s="365"/>
      <c r="DU95" s="366"/>
      <c r="DV95" s="367"/>
      <c r="DW95" s="248"/>
      <c r="DX95" s="205"/>
      <c r="DY95" s="205"/>
      <c r="DZ95" s="205"/>
      <c r="EA95" s="205"/>
      <c r="EB95" s="205"/>
      <c r="EC95" s="297"/>
      <c r="ED95" s="297"/>
      <c r="EE95" s="297"/>
      <c r="EF95" s="298"/>
      <c r="EG95" s="205"/>
      <c r="EH95" s="205"/>
      <c r="EI95" s="205"/>
      <c r="EJ95" s="205"/>
      <c r="EK95" s="205"/>
      <c r="EL95" s="299"/>
      <c r="EM95" s="299"/>
      <c r="EN95" s="205"/>
      <c r="EO95" s="205"/>
      <c r="EP95" s="205"/>
      <c r="EQ95" s="205"/>
      <c r="ER95" s="364"/>
      <c r="ES95" s="364"/>
      <c r="ET95" s="364"/>
      <c r="EU95" s="364"/>
      <c r="EV95" s="205"/>
      <c r="EW95" s="205"/>
      <c r="EX95" s="205"/>
      <c r="EY95" s="205"/>
      <c r="EZ95" s="205"/>
      <c r="FA95" s="205"/>
      <c r="FB95" s="205"/>
      <c r="FC95" s="205"/>
      <c r="FD95" s="205"/>
      <c r="FE95" s="205"/>
      <c r="FF95" s="299"/>
      <c r="FG95" s="299"/>
      <c r="FH95" s="299"/>
      <c r="FI95" s="299"/>
      <c r="FJ95" s="299"/>
      <c r="FK95" s="299"/>
      <c r="FL95" s="299"/>
      <c r="FM95" s="299"/>
      <c r="FN95" s="299"/>
      <c r="FO95" s="299"/>
      <c r="FP95" s="299"/>
      <c r="FQ95" s="299"/>
      <c r="FR95" s="299"/>
      <c r="FS95" s="299"/>
      <c r="FT95" s="299"/>
      <c r="FU95" s="205"/>
      <c r="FV95" s="205"/>
      <c r="FW95" s="249"/>
      <c r="FX95" s="368"/>
      <c r="FY95" s="368"/>
      <c r="FZ95" s="368"/>
      <c r="GA95" s="368"/>
      <c r="GB95" s="368"/>
      <c r="GC95" s="368"/>
      <c r="GD95" s="368"/>
      <c r="GE95" s="365"/>
      <c r="GF95" s="366"/>
      <c r="GG95" s="367"/>
      <c r="GH95" s="248"/>
      <c r="GI95" s="205"/>
      <c r="GJ95" s="205"/>
      <c r="GK95" s="205"/>
      <c r="GL95" s="205"/>
      <c r="GM95" s="205"/>
      <c r="GN95" s="297"/>
      <c r="GO95" s="297"/>
      <c r="GP95" s="297"/>
      <c r="GQ95" s="298"/>
      <c r="GR95" s="205"/>
      <c r="GS95" s="205"/>
      <c r="GT95" s="205"/>
      <c r="GU95" s="205"/>
      <c r="GV95" s="205"/>
      <c r="GW95" s="299"/>
      <c r="GX95" s="299"/>
      <c r="GY95" s="205"/>
      <c r="GZ95" s="205"/>
      <c r="HA95" s="205"/>
      <c r="HB95" s="205"/>
      <c r="HC95" s="364"/>
      <c r="HD95" s="364"/>
      <c r="HE95" s="364"/>
      <c r="HF95" s="364"/>
      <c r="HG95" s="205"/>
      <c r="HH95" s="205"/>
      <c r="HI95" s="205"/>
      <c r="HJ95" s="205"/>
      <c r="HK95" s="205"/>
      <c r="HL95" s="205"/>
      <c r="HM95" s="205"/>
      <c r="HN95" s="205"/>
      <c r="HO95" s="205"/>
      <c r="HP95" s="205"/>
      <c r="HQ95" s="299"/>
      <c r="HR95" s="299"/>
      <c r="HS95" s="299"/>
      <c r="HT95" s="299"/>
      <c r="HU95" s="299"/>
      <c r="HV95" s="299"/>
      <c r="HW95" s="299"/>
      <c r="HX95" s="299"/>
      <c r="HY95" s="299"/>
      <c r="HZ95" s="299"/>
      <c r="IA95" s="299"/>
      <c r="IB95" s="299"/>
      <c r="IC95" s="299"/>
      <c r="ID95" s="299"/>
      <c r="IE95" s="299"/>
      <c r="IF95" s="205"/>
      <c r="IG95" s="205"/>
      <c r="IH95" s="249"/>
      <c r="II95" s="368"/>
      <c r="IJ95" s="368"/>
      <c r="IK95" s="368"/>
      <c r="IL95" s="368"/>
      <c r="IM95" s="368"/>
      <c r="IN95" s="368"/>
      <c r="IO95" s="368"/>
      <c r="IP95" s="365"/>
      <c r="IQ95" s="366"/>
      <c r="IR95" s="367"/>
      <c r="IS95" s="248"/>
      <c r="IT95" s="205"/>
      <c r="IU95" s="205"/>
      <c r="IV95" s="205"/>
    </row>
    <row r="96" spans="1:256" ht="12.75">
      <c r="A96" s="248">
        <f t="shared" si="1"/>
        <v>95</v>
      </c>
      <c r="B96" t="s">
        <v>23</v>
      </c>
      <c r="C96" t="s">
        <v>210</v>
      </c>
      <c r="D96" t="s">
        <v>101</v>
      </c>
      <c r="E96">
        <v>2011</v>
      </c>
      <c r="F96" t="s">
        <v>204</v>
      </c>
      <c r="G96" s="387">
        <v>2.3</v>
      </c>
      <c r="H96" s="387">
        <v>3</v>
      </c>
      <c r="I96" s="387">
        <v>5</v>
      </c>
      <c r="J96" s="387">
        <v>1.831090043947592</v>
      </c>
      <c r="K96"/>
      <c r="L96">
        <v>530</v>
      </c>
      <c r="M96">
        <v>2010</v>
      </c>
      <c r="N96">
        <v>2011</v>
      </c>
      <c r="O96">
        <v>2030</v>
      </c>
      <c r="P96" s="387">
        <v>60</v>
      </c>
      <c r="Q96" s="384">
        <v>110</v>
      </c>
      <c r="R96">
        <v>0</v>
      </c>
      <c r="S96">
        <v>120</v>
      </c>
      <c r="T96">
        <v>350</v>
      </c>
      <c r="U96">
        <v>60</v>
      </c>
      <c r="V96" s="384">
        <v>0</v>
      </c>
      <c r="W96" s="384">
        <v>22.641509433962266</v>
      </c>
      <c r="X96" s="384">
        <v>66.0377358490566</v>
      </c>
      <c r="Y96" s="384">
        <v>11.320754716981133</v>
      </c>
      <c r="Z96">
        <v>480</v>
      </c>
      <c r="AA96">
        <v>690</v>
      </c>
      <c r="AB96">
        <v>0</v>
      </c>
      <c r="AC96">
        <v>90</v>
      </c>
      <c r="AD96">
        <v>310</v>
      </c>
      <c r="AE96">
        <v>80</v>
      </c>
      <c r="AF96">
        <v>0</v>
      </c>
      <c r="AG96">
        <v>170</v>
      </c>
      <c r="AH96">
        <v>460</v>
      </c>
      <c r="AI96">
        <v>60</v>
      </c>
      <c r="AJ96">
        <v>80</v>
      </c>
      <c r="AK96">
        <v>220</v>
      </c>
      <c r="AL96">
        <v>10</v>
      </c>
      <c r="AM96">
        <v>60</v>
      </c>
      <c r="AN96">
        <v>30</v>
      </c>
      <c r="AO96">
        <v>40</v>
      </c>
      <c r="AP96">
        <v>360</v>
      </c>
      <c r="AQ96">
        <v>60</v>
      </c>
      <c r="AR96">
        <v>110</v>
      </c>
      <c r="AS96">
        <v>60</v>
      </c>
      <c r="AT96">
        <v>30</v>
      </c>
      <c r="AU96">
        <v>280</v>
      </c>
      <c r="AV96">
        <v>40</v>
      </c>
      <c r="AW96">
        <v>70</v>
      </c>
      <c r="AX96">
        <v>50</v>
      </c>
      <c r="AY96">
        <v>300</v>
      </c>
      <c r="AZ96">
        <v>400</v>
      </c>
      <c r="BA96">
        <v>310</v>
      </c>
      <c r="BB96" s="384">
        <v>0</v>
      </c>
      <c r="BC96" s="384">
        <v>0</v>
      </c>
      <c r="BD96" s="384">
        <v>20</v>
      </c>
      <c r="BE96" s="384">
        <v>10</v>
      </c>
      <c r="BF96" s="384">
        <v>10</v>
      </c>
      <c r="BG96" s="384">
        <v>20</v>
      </c>
      <c r="BH96" s="384">
        <v>0</v>
      </c>
      <c r="BI96" s="384">
        <v>30</v>
      </c>
      <c r="BJ96" s="384">
        <v>30</v>
      </c>
      <c r="BK96" s="384">
        <v>20</v>
      </c>
      <c r="BL96" s="248"/>
      <c r="BM96" s="205"/>
      <c r="BN96" s="205"/>
      <c r="BO96" s="205"/>
      <c r="BP96" s="205"/>
      <c r="BQ96" s="205"/>
      <c r="BR96" s="297"/>
      <c r="BS96" s="297"/>
      <c r="BT96" s="297"/>
      <c r="BU96" s="298"/>
      <c r="BV96" s="205"/>
      <c r="BW96" s="205"/>
      <c r="BX96" s="205"/>
      <c r="BY96" s="205"/>
      <c r="BZ96" s="205"/>
      <c r="CA96" s="299"/>
      <c r="CB96" s="299"/>
      <c r="CC96" s="205"/>
      <c r="CD96" s="205"/>
      <c r="CE96" s="205"/>
      <c r="CF96" s="205"/>
      <c r="CG96" s="364"/>
      <c r="CH96" s="364"/>
      <c r="CI96" s="364"/>
      <c r="CJ96" s="364"/>
      <c r="CK96" s="205"/>
      <c r="CL96" s="205"/>
      <c r="CM96" s="205"/>
      <c r="CN96" s="205"/>
      <c r="CO96" s="205"/>
      <c r="CP96" s="205"/>
      <c r="CQ96" s="205"/>
      <c r="CR96" s="205"/>
      <c r="CS96" s="205"/>
      <c r="CT96" s="205"/>
      <c r="CU96" s="299"/>
      <c r="CV96" s="299"/>
      <c r="CW96" s="299"/>
      <c r="CX96" s="299"/>
      <c r="CY96" s="299"/>
      <c r="CZ96" s="299"/>
      <c r="DA96" s="299"/>
      <c r="DB96" s="299"/>
      <c r="DC96" s="299"/>
      <c r="DD96" s="299"/>
      <c r="DE96" s="299"/>
      <c r="DF96" s="299"/>
      <c r="DG96" s="299"/>
      <c r="DH96" s="299"/>
      <c r="DI96" s="299"/>
      <c r="DJ96" s="205"/>
      <c r="DK96" s="205"/>
      <c r="DL96" s="249"/>
      <c r="DM96" s="368"/>
      <c r="DN96" s="368"/>
      <c r="DO96" s="368"/>
      <c r="DP96" s="368"/>
      <c r="DQ96" s="368"/>
      <c r="DR96" s="368"/>
      <c r="DS96" s="368"/>
      <c r="DT96" s="365"/>
      <c r="DU96" s="366"/>
      <c r="DV96" s="367"/>
      <c r="DW96" s="248"/>
      <c r="DX96" s="205"/>
      <c r="DY96" s="205"/>
      <c r="DZ96" s="205"/>
      <c r="EA96" s="205"/>
      <c r="EB96" s="205"/>
      <c r="EC96" s="297"/>
      <c r="ED96" s="297"/>
      <c r="EE96" s="297"/>
      <c r="EF96" s="298"/>
      <c r="EG96" s="205"/>
      <c r="EH96" s="205"/>
      <c r="EI96" s="205"/>
      <c r="EJ96" s="205"/>
      <c r="EK96" s="205"/>
      <c r="EL96" s="299"/>
      <c r="EM96" s="299"/>
      <c r="EN96" s="205"/>
      <c r="EO96" s="205"/>
      <c r="EP96" s="205"/>
      <c r="EQ96" s="205"/>
      <c r="ER96" s="364"/>
      <c r="ES96" s="364"/>
      <c r="ET96" s="364"/>
      <c r="EU96" s="364"/>
      <c r="EV96" s="205"/>
      <c r="EW96" s="205"/>
      <c r="EX96" s="205"/>
      <c r="EY96" s="205"/>
      <c r="EZ96" s="205"/>
      <c r="FA96" s="205"/>
      <c r="FB96" s="205"/>
      <c r="FC96" s="205"/>
      <c r="FD96" s="205"/>
      <c r="FE96" s="205"/>
      <c r="FF96" s="299"/>
      <c r="FG96" s="299"/>
      <c r="FH96" s="299"/>
      <c r="FI96" s="299"/>
      <c r="FJ96" s="299"/>
      <c r="FK96" s="299"/>
      <c r="FL96" s="299"/>
      <c r="FM96" s="299"/>
      <c r="FN96" s="299"/>
      <c r="FO96" s="299"/>
      <c r="FP96" s="299"/>
      <c r="FQ96" s="299"/>
      <c r="FR96" s="299"/>
      <c r="FS96" s="299"/>
      <c r="FT96" s="299"/>
      <c r="FU96" s="205"/>
      <c r="FV96" s="205"/>
      <c r="FW96" s="249"/>
      <c r="FX96" s="368"/>
      <c r="FY96" s="368"/>
      <c r="FZ96" s="368"/>
      <c r="GA96" s="368"/>
      <c r="GB96" s="368"/>
      <c r="GC96" s="368"/>
      <c r="GD96" s="368"/>
      <c r="GE96" s="365"/>
      <c r="GF96" s="366"/>
      <c r="GG96" s="367"/>
      <c r="GH96" s="248"/>
      <c r="GI96" s="205"/>
      <c r="GJ96" s="205"/>
      <c r="GK96" s="205"/>
      <c r="GL96" s="205"/>
      <c r="GM96" s="205"/>
      <c r="GN96" s="297"/>
      <c r="GO96" s="297"/>
      <c r="GP96" s="297"/>
      <c r="GQ96" s="298"/>
      <c r="GR96" s="205"/>
      <c r="GS96" s="205"/>
      <c r="GT96" s="205"/>
      <c r="GU96" s="205"/>
      <c r="GV96" s="205"/>
      <c r="GW96" s="299"/>
      <c r="GX96" s="299"/>
      <c r="GY96" s="205"/>
      <c r="GZ96" s="205"/>
      <c r="HA96" s="205"/>
      <c r="HB96" s="205"/>
      <c r="HC96" s="364"/>
      <c r="HD96" s="364"/>
      <c r="HE96" s="364"/>
      <c r="HF96" s="364"/>
      <c r="HG96" s="205"/>
      <c r="HH96" s="205"/>
      <c r="HI96" s="205"/>
      <c r="HJ96" s="205"/>
      <c r="HK96" s="205"/>
      <c r="HL96" s="205"/>
      <c r="HM96" s="205"/>
      <c r="HN96" s="205"/>
      <c r="HO96" s="205"/>
      <c r="HP96" s="205"/>
      <c r="HQ96" s="299"/>
      <c r="HR96" s="299"/>
      <c r="HS96" s="299"/>
      <c r="HT96" s="299"/>
      <c r="HU96" s="299"/>
      <c r="HV96" s="299"/>
      <c r="HW96" s="299"/>
      <c r="HX96" s="299"/>
      <c r="HY96" s="299"/>
      <c r="HZ96" s="299"/>
      <c r="IA96" s="299"/>
      <c r="IB96" s="299"/>
      <c r="IC96" s="299"/>
      <c r="ID96" s="299"/>
      <c r="IE96" s="299"/>
      <c r="IF96" s="205"/>
      <c r="IG96" s="205"/>
      <c r="IH96" s="249"/>
      <c r="II96" s="368"/>
      <c r="IJ96" s="368"/>
      <c r="IK96" s="368"/>
      <c r="IL96" s="368"/>
      <c r="IM96" s="368"/>
      <c r="IN96" s="368"/>
      <c r="IO96" s="368"/>
      <c r="IP96" s="365"/>
      <c r="IQ96" s="366"/>
      <c r="IR96" s="367"/>
      <c r="IS96" s="248"/>
      <c r="IT96" s="205"/>
      <c r="IU96" s="205"/>
      <c r="IV96" s="205"/>
    </row>
    <row r="97" spans="1:256" ht="12.75">
      <c r="A97" s="248">
        <f t="shared" si="1"/>
        <v>96</v>
      </c>
      <c r="B97" t="s">
        <v>22</v>
      </c>
      <c r="C97" t="s">
        <v>209</v>
      </c>
      <c r="D97" t="s">
        <v>101</v>
      </c>
      <c r="E97">
        <v>2011</v>
      </c>
      <c r="F97" t="s">
        <v>204</v>
      </c>
      <c r="G97" s="387">
        <v>2.7</v>
      </c>
      <c r="H97" s="387">
        <v>2.8</v>
      </c>
      <c r="I97" s="387">
        <v>4.7</v>
      </c>
      <c r="J97" s="387">
        <v>1.7308477019032154</v>
      </c>
      <c r="K97"/>
      <c r="L97">
        <v>7000</v>
      </c>
      <c r="M97">
        <v>2010</v>
      </c>
      <c r="N97">
        <v>2011</v>
      </c>
      <c r="O97">
        <v>2030</v>
      </c>
      <c r="P97" s="387">
        <v>700</v>
      </c>
      <c r="Q97" s="384">
        <v>100</v>
      </c>
      <c r="R97">
        <v>50</v>
      </c>
      <c r="S97">
        <v>990</v>
      </c>
      <c r="T97">
        <v>5190</v>
      </c>
      <c r="U97">
        <v>770</v>
      </c>
      <c r="V97" s="384">
        <v>0.7142857142857143</v>
      </c>
      <c r="W97" s="384">
        <v>14.142857142857142</v>
      </c>
      <c r="X97" s="384">
        <v>74.14285714285714</v>
      </c>
      <c r="Y97" s="384">
        <v>11</v>
      </c>
      <c r="Z97">
        <v>6130</v>
      </c>
      <c r="AA97">
        <v>8640</v>
      </c>
      <c r="AB97">
        <v>110</v>
      </c>
      <c r="AC97">
        <v>910</v>
      </c>
      <c r="AD97">
        <v>3410</v>
      </c>
      <c r="AE97">
        <v>1700</v>
      </c>
      <c r="AF97">
        <v>140</v>
      </c>
      <c r="AG97">
        <v>1460</v>
      </c>
      <c r="AH97">
        <v>6340</v>
      </c>
      <c r="AI97">
        <v>700</v>
      </c>
      <c r="AJ97">
        <v>320</v>
      </c>
      <c r="AK97">
        <v>2360</v>
      </c>
      <c r="AL97">
        <v>730</v>
      </c>
      <c r="AM97">
        <v>610</v>
      </c>
      <c r="AN97">
        <v>300</v>
      </c>
      <c r="AO97">
        <v>950</v>
      </c>
      <c r="AP97">
        <v>3990</v>
      </c>
      <c r="AQ97">
        <v>1400</v>
      </c>
      <c r="AR97">
        <v>860</v>
      </c>
      <c r="AS97">
        <v>600</v>
      </c>
      <c r="AT97">
        <v>940</v>
      </c>
      <c r="AU97">
        <v>3270</v>
      </c>
      <c r="AV97">
        <v>980</v>
      </c>
      <c r="AW97">
        <v>560</v>
      </c>
      <c r="AX97">
        <v>430</v>
      </c>
      <c r="AY97">
        <v>2680</v>
      </c>
      <c r="AZ97">
        <v>4940</v>
      </c>
      <c r="BA97">
        <v>4210</v>
      </c>
      <c r="BB97" s="384">
        <v>30</v>
      </c>
      <c r="BC97" s="384">
        <v>40</v>
      </c>
      <c r="BD97" s="384">
        <v>270</v>
      </c>
      <c r="BE97" s="384">
        <v>100</v>
      </c>
      <c r="BF97" s="384">
        <v>120</v>
      </c>
      <c r="BG97" s="384">
        <v>120</v>
      </c>
      <c r="BH97" s="384">
        <v>20</v>
      </c>
      <c r="BI97" s="384">
        <v>240</v>
      </c>
      <c r="BJ97" s="384">
        <v>410</v>
      </c>
      <c r="BK97" s="384">
        <v>310</v>
      </c>
      <c r="BL97" s="248"/>
      <c r="BM97" s="205"/>
      <c r="BN97" s="205"/>
      <c r="BO97" s="205"/>
      <c r="BP97" s="205"/>
      <c r="BQ97" s="205"/>
      <c r="BR97" s="297"/>
      <c r="BS97" s="297"/>
      <c r="BT97" s="297"/>
      <c r="BU97" s="298"/>
      <c r="BV97" s="205"/>
      <c r="BW97" s="205"/>
      <c r="BX97" s="205"/>
      <c r="BY97" s="205"/>
      <c r="BZ97" s="205"/>
      <c r="CA97" s="299"/>
      <c r="CB97" s="299"/>
      <c r="CC97" s="205"/>
      <c r="CD97" s="205"/>
      <c r="CE97" s="205"/>
      <c r="CF97" s="205"/>
      <c r="CG97" s="364"/>
      <c r="CH97" s="364"/>
      <c r="CI97" s="364"/>
      <c r="CJ97" s="364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99"/>
      <c r="CV97" s="299"/>
      <c r="CW97" s="299"/>
      <c r="CX97" s="299"/>
      <c r="CY97" s="299"/>
      <c r="CZ97" s="299"/>
      <c r="DA97" s="299"/>
      <c r="DB97" s="299"/>
      <c r="DC97" s="299"/>
      <c r="DD97" s="299"/>
      <c r="DE97" s="299"/>
      <c r="DF97" s="299"/>
      <c r="DG97" s="299"/>
      <c r="DH97" s="299"/>
      <c r="DI97" s="299"/>
      <c r="DJ97" s="205"/>
      <c r="DK97" s="205"/>
      <c r="DL97" s="249"/>
      <c r="DM97" s="368"/>
      <c r="DN97" s="368"/>
      <c r="DO97" s="368"/>
      <c r="DP97" s="368"/>
      <c r="DQ97" s="368"/>
      <c r="DR97" s="368"/>
      <c r="DS97" s="368"/>
      <c r="DT97" s="365"/>
      <c r="DU97" s="366"/>
      <c r="DV97" s="367"/>
      <c r="DW97" s="248"/>
      <c r="DX97" s="205"/>
      <c r="DY97" s="205"/>
      <c r="DZ97" s="205"/>
      <c r="EA97" s="205"/>
      <c r="EB97" s="205"/>
      <c r="EC97" s="297"/>
      <c r="ED97" s="297"/>
      <c r="EE97" s="297"/>
      <c r="EF97" s="298"/>
      <c r="EG97" s="205"/>
      <c r="EH97" s="205"/>
      <c r="EI97" s="205"/>
      <c r="EJ97" s="205"/>
      <c r="EK97" s="205"/>
      <c r="EL97" s="299"/>
      <c r="EM97" s="299"/>
      <c r="EN97" s="205"/>
      <c r="EO97" s="205"/>
      <c r="EP97" s="205"/>
      <c r="EQ97" s="205"/>
      <c r="ER97" s="364"/>
      <c r="ES97" s="364"/>
      <c r="ET97" s="364"/>
      <c r="EU97" s="364"/>
      <c r="EV97" s="205"/>
      <c r="EW97" s="205"/>
      <c r="EX97" s="205"/>
      <c r="EY97" s="205"/>
      <c r="EZ97" s="205"/>
      <c r="FA97" s="205"/>
      <c r="FB97" s="205"/>
      <c r="FC97" s="205"/>
      <c r="FD97" s="205"/>
      <c r="FE97" s="205"/>
      <c r="FF97" s="299"/>
      <c r="FG97" s="299"/>
      <c r="FH97" s="299"/>
      <c r="FI97" s="299"/>
      <c r="FJ97" s="299"/>
      <c r="FK97" s="299"/>
      <c r="FL97" s="299"/>
      <c r="FM97" s="299"/>
      <c r="FN97" s="299"/>
      <c r="FO97" s="299"/>
      <c r="FP97" s="299"/>
      <c r="FQ97" s="299"/>
      <c r="FR97" s="299"/>
      <c r="FS97" s="299"/>
      <c r="FT97" s="299"/>
      <c r="FU97" s="205"/>
      <c r="FV97" s="205"/>
      <c r="FW97" s="249"/>
      <c r="FX97" s="368"/>
      <c r="FY97" s="368"/>
      <c r="FZ97" s="368"/>
      <c r="GA97" s="368"/>
      <c r="GB97" s="368"/>
      <c r="GC97" s="368"/>
      <c r="GD97" s="368"/>
      <c r="GE97" s="365"/>
      <c r="GF97" s="366"/>
      <c r="GG97" s="367"/>
      <c r="GH97" s="248"/>
      <c r="GI97" s="205"/>
      <c r="GJ97" s="205"/>
      <c r="GK97" s="205"/>
      <c r="GL97" s="205"/>
      <c r="GM97" s="205"/>
      <c r="GN97" s="297"/>
      <c r="GO97" s="297"/>
      <c r="GP97" s="297"/>
      <c r="GQ97" s="298"/>
      <c r="GR97" s="205"/>
      <c r="GS97" s="205"/>
      <c r="GT97" s="205"/>
      <c r="GU97" s="205"/>
      <c r="GV97" s="205"/>
      <c r="GW97" s="299"/>
      <c r="GX97" s="299"/>
      <c r="GY97" s="205"/>
      <c r="GZ97" s="205"/>
      <c r="HA97" s="205"/>
      <c r="HB97" s="205"/>
      <c r="HC97" s="364"/>
      <c r="HD97" s="364"/>
      <c r="HE97" s="364"/>
      <c r="HF97" s="364"/>
      <c r="HG97" s="205"/>
      <c r="HH97" s="205"/>
      <c r="HI97" s="205"/>
      <c r="HJ97" s="205"/>
      <c r="HK97" s="205"/>
      <c r="HL97" s="205"/>
      <c r="HM97" s="205"/>
      <c r="HN97" s="205"/>
      <c r="HO97" s="205"/>
      <c r="HP97" s="205"/>
      <c r="HQ97" s="299"/>
      <c r="HR97" s="299"/>
      <c r="HS97" s="299"/>
      <c r="HT97" s="299"/>
      <c r="HU97" s="299"/>
      <c r="HV97" s="299"/>
      <c r="HW97" s="299"/>
      <c r="HX97" s="299"/>
      <c r="HY97" s="299"/>
      <c r="HZ97" s="299"/>
      <c r="IA97" s="299"/>
      <c r="IB97" s="299"/>
      <c r="IC97" s="299"/>
      <c r="ID97" s="299"/>
      <c r="IE97" s="299"/>
      <c r="IF97" s="205"/>
      <c r="IG97" s="205"/>
      <c r="IH97" s="249"/>
      <c r="II97" s="368"/>
      <c r="IJ97" s="368"/>
      <c r="IK97" s="368"/>
      <c r="IL97" s="368"/>
      <c r="IM97" s="368"/>
      <c r="IN97" s="368"/>
      <c r="IO97" s="368"/>
      <c r="IP97" s="365"/>
      <c r="IQ97" s="366"/>
      <c r="IR97" s="367"/>
      <c r="IS97" s="248"/>
      <c r="IT97" s="205"/>
      <c r="IU97" s="205"/>
      <c r="IV97" s="205"/>
    </row>
    <row r="98" spans="1:256" ht="12.75">
      <c r="A98" s="248">
        <f t="shared" si="1"/>
        <v>97</v>
      </c>
      <c r="B98" t="s">
        <v>26</v>
      </c>
      <c r="C98" t="s">
        <v>153</v>
      </c>
      <c r="D98" t="s">
        <v>104</v>
      </c>
      <c r="E98">
        <v>2011</v>
      </c>
      <c r="F98" t="s">
        <v>204</v>
      </c>
      <c r="G98" s="387">
        <v>3.8</v>
      </c>
      <c r="H98" s="387">
        <v>5.8</v>
      </c>
      <c r="I98" s="387">
        <v>5.3</v>
      </c>
      <c r="J98" s="387">
        <v>5.79564375835302</v>
      </c>
      <c r="K98"/>
      <c r="L98">
        <v>770</v>
      </c>
      <c r="M98">
        <v>2010</v>
      </c>
      <c r="N98">
        <v>2011</v>
      </c>
      <c r="O98">
        <v>2030</v>
      </c>
      <c r="P98" s="387">
        <v>70</v>
      </c>
      <c r="Q98" s="384">
        <v>90</v>
      </c>
      <c r="R98">
        <v>0</v>
      </c>
      <c r="S98">
        <v>60</v>
      </c>
      <c r="T98">
        <v>660</v>
      </c>
      <c r="U98">
        <v>50</v>
      </c>
      <c r="V98" s="384">
        <v>0</v>
      </c>
      <c r="W98" s="384">
        <v>7.792207792207792</v>
      </c>
      <c r="X98" s="384">
        <v>85.71428571428571</v>
      </c>
      <c r="Y98" s="384">
        <v>6.493506493506493</v>
      </c>
      <c r="Z98">
        <v>350</v>
      </c>
      <c r="AA98">
        <v>1080</v>
      </c>
      <c r="AB98">
        <v>0</v>
      </c>
      <c r="AC98">
        <v>30</v>
      </c>
      <c r="AD98">
        <v>260</v>
      </c>
      <c r="AE98">
        <v>60</v>
      </c>
      <c r="AF98">
        <v>0</v>
      </c>
      <c r="AG98">
        <v>70</v>
      </c>
      <c r="AH98">
        <v>920</v>
      </c>
      <c r="AI98">
        <v>90</v>
      </c>
      <c r="AJ98">
        <v>60</v>
      </c>
      <c r="AK98">
        <v>190</v>
      </c>
      <c r="AL98">
        <v>10</v>
      </c>
      <c r="AM98">
        <v>20</v>
      </c>
      <c r="AN98">
        <v>10</v>
      </c>
      <c r="AO98">
        <v>150</v>
      </c>
      <c r="AP98">
        <v>720</v>
      </c>
      <c r="AQ98">
        <v>50</v>
      </c>
      <c r="AR98">
        <v>60</v>
      </c>
      <c r="AS98">
        <v>10</v>
      </c>
      <c r="AT98">
        <v>120</v>
      </c>
      <c r="AU98">
        <v>500</v>
      </c>
      <c r="AV98">
        <v>40</v>
      </c>
      <c r="AW98">
        <v>50</v>
      </c>
      <c r="AX98">
        <v>10</v>
      </c>
      <c r="AY98">
        <v>250</v>
      </c>
      <c r="AZ98">
        <v>870</v>
      </c>
      <c r="BA98">
        <v>620</v>
      </c>
      <c r="BB98" s="384">
        <v>2</v>
      </c>
      <c r="BC98" s="384">
        <v>10</v>
      </c>
      <c r="BD98" s="384">
        <v>40</v>
      </c>
      <c r="BE98" s="384">
        <v>0</v>
      </c>
      <c r="BF98" s="384">
        <v>10</v>
      </c>
      <c r="BG98" s="384">
        <v>10</v>
      </c>
      <c r="BH98" s="384">
        <v>0</v>
      </c>
      <c r="BI98" s="384">
        <v>20</v>
      </c>
      <c r="BJ98" s="384">
        <v>50</v>
      </c>
      <c r="BK98" s="384">
        <v>50</v>
      </c>
      <c r="BL98" s="248"/>
      <c r="BM98" s="205"/>
      <c r="BN98" s="205"/>
      <c r="BO98" s="205"/>
      <c r="BP98" s="205"/>
      <c r="BQ98" s="205"/>
      <c r="BR98" s="297"/>
      <c r="BS98" s="297"/>
      <c r="BT98" s="297"/>
      <c r="BU98" s="298"/>
      <c r="BV98" s="205"/>
      <c r="BW98" s="205"/>
      <c r="BX98" s="205"/>
      <c r="BY98" s="205"/>
      <c r="BZ98" s="205"/>
      <c r="CA98" s="299"/>
      <c r="CB98" s="299"/>
      <c r="CC98" s="205"/>
      <c r="CD98" s="205"/>
      <c r="CE98" s="205"/>
      <c r="CF98" s="205"/>
      <c r="CG98" s="364"/>
      <c r="CH98" s="364"/>
      <c r="CI98" s="364"/>
      <c r="CJ98" s="364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99"/>
      <c r="CV98" s="299"/>
      <c r="CW98" s="299"/>
      <c r="CX98" s="299"/>
      <c r="CY98" s="299"/>
      <c r="CZ98" s="299"/>
      <c r="DA98" s="299"/>
      <c r="DB98" s="299"/>
      <c r="DC98" s="299"/>
      <c r="DD98" s="299"/>
      <c r="DE98" s="299"/>
      <c r="DF98" s="299"/>
      <c r="DG98" s="299"/>
      <c r="DH98" s="299"/>
      <c r="DI98" s="299"/>
      <c r="DJ98" s="205"/>
      <c r="DK98" s="205"/>
      <c r="DL98" s="249"/>
      <c r="DM98" s="368"/>
      <c r="DN98" s="368"/>
      <c r="DO98" s="368"/>
      <c r="DP98" s="368"/>
      <c r="DQ98" s="368"/>
      <c r="DR98" s="368"/>
      <c r="DS98" s="368"/>
      <c r="DT98" s="365"/>
      <c r="DU98" s="366"/>
      <c r="DV98" s="367"/>
      <c r="DW98" s="248"/>
      <c r="DX98" s="205"/>
      <c r="DY98" s="205"/>
      <c r="DZ98" s="205"/>
      <c r="EA98" s="205"/>
      <c r="EB98" s="205"/>
      <c r="EC98" s="297"/>
      <c r="ED98" s="297"/>
      <c r="EE98" s="297"/>
      <c r="EF98" s="298"/>
      <c r="EG98" s="205"/>
      <c r="EH98" s="205"/>
      <c r="EI98" s="205"/>
      <c r="EJ98" s="205"/>
      <c r="EK98" s="205"/>
      <c r="EL98" s="299"/>
      <c r="EM98" s="299"/>
      <c r="EN98" s="205"/>
      <c r="EO98" s="205"/>
      <c r="EP98" s="205"/>
      <c r="EQ98" s="205"/>
      <c r="ER98" s="364"/>
      <c r="ES98" s="364"/>
      <c r="ET98" s="364"/>
      <c r="EU98" s="364"/>
      <c r="EV98" s="205"/>
      <c r="EW98" s="205"/>
      <c r="EX98" s="205"/>
      <c r="EY98" s="205"/>
      <c r="EZ98" s="205"/>
      <c r="FA98" s="205"/>
      <c r="FB98" s="205"/>
      <c r="FC98" s="205"/>
      <c r="FD98" s="205"/>
      <c r="FE98" s="205"/>
      <c r="FF98" s="299"/>
      <c r="FG98" s="299"/>
      <c r="FH98" s="299"/>
      <c r="FI98" s="299"/>
      <c r="FJ98" s="299"/>
      <c r="FK98" s="299"/>
      <c r="FL98" s="299"/>
      <c r="FM98" s="299"/>
      <c r="FN98" s="299"/>
      <c r="FO98" s="299"/>
      <c r="FP98" s="299"/>
      <c r="FQ98" s="299"/>
      <c r="FR98" s="299"/>
      <c r="FS98" s="299"/>
      <c r="FT98" s="299"/>
      <c r="FU98" s="205"/>
      <c r="FV98" s="205"/>
      <c r="FW98" s="249"/>
      <c r="FX98" s="368"/>
      <c r="FY98" s="368"/>
      <c r="FZ98" s="368"/>
      <c r="GA98" s="368"/>
      <c r="GB98" s="368"/>
      <c r="GC98" s="368"/>
      <c r="GD98" s="368"/>
      <c r="GE98" s="365"/>
      <c r="GF98" s="366"/>
      <c r="GG98" s="367"/>
      <c r="GH98" s="248"/>
      <c r="GI98" s="205"/>
      <c r="GJ98" s="205"/>
      <c r="GK98" s="205"/>
      <c r="GL98" s="205"/>
      <c r="GM98" s="205"/>
      <c r="GN98" s="297"/>
      <c r="GO98" s="297"/>
      <c r="GP98" s="297"/>
      <c r="GQ98" s="298"/>
      <c r="GR98" s="205"/>
      <c r="GS98" s="205"/>
      <c r="GT98" s="205"/>
      <c r="GU98" s="205"/>
      <c r="GV98" s="205"/>
      <c r="GW98" s="299"/>
      <c r="GX98" s="299"/>
      <c r="GY98" s="205"/>
      <c r="GZ98" s="205"/>
      <c r="HA98" s="205"/>
      <c r="HB98" s="205"/>
      <c r="HC98" s="364"/>
      <c r="HD98" s="364"/>
      <c r="HE98" s="364"/>
      <c r="HF98" s="364"/>
      <c r="HG98" s="205"/>
      <c r="HH98" s="205"/>
      <c r="HI98" s="205"/>
      <c r="HJ98" s="205"/>
      <c r="HK98" s="205"/>
      <c r="HL98" s="205"/>
      <c r="HM98" s="205"/>
      <c r="HN98" s="205"/>
      <c r="HO98" s="205"/>
      <c r="HP98" s="205"/>
      <c r="HQ98" s="299"/>
      <c r="HR98" s="299"/>
      <c r="HS98" s="299"/>
      <c r="HT98" s="299"/>
      <c r="HU98" s="299"/>
      <c r="HV98" s="299"/>
      <c r="HW98" s="299"/>
      <c r="HX98" s="299"/>
      <c r="HY98" s="299"/>
      <c r="HZ98" s="299"/>
      <c r="IA98" s="299"/>
      <c r="IB98" s="299"/>
      <c r="IC98" s="299"/>
      <c r="ID98" s="299"/>
      <c r="IE98" s="299"/>
      <c r="IF98" s="205"/>
      <c r="IG98" s="205"/>
      <c r="IH98" s="249"/>
      <c r="II98" s="368"/>
      <c r="IJ98" s="368"/>
      <c r="IK98" s="368"/>
      <c r="IL98" s="368"/>
      <c r="IM98" s="368"/>
      <c r="IN98" s="368"/>
      <c r="IO98" s="368"/>
      <c r="IP98" s="365"/>
      <c r="IQ98" s="366"/>
      <c r="IR98" s="367"/>
      <c r="IS98" s="248"/>
      <c r="IT98" s="205"/>
      <c r="IU98" s="205"/>
      <c r="IV98" s="205"/>
    </row>
    <row r="99" spans="1:256" ht="12.75">
      <c r="A99" s="248">
        <f t="shared" si="1"/>
        <v>98</v>
      </c>
      <c r="B99" t="s">
        <v>25</v>
      </c>
      <c r="C99" t="s">
        <v>163</v>
      </c>
      <c r="D99" t="s">
        <v>104</v>
      </c>
      <c r="E99">
        <v>2011</v>
      </c>
      <c r="F99" t="s">
        <v>204</v>
      </c>
      <c r="G99" s="387">
        <v>4.5</v>
      </c>
      <c r="H99" s="387">
        <v>7.5</v>
      </c>
      <c r="I99" s="387">
        <v>6.3</v>
      </c>
      <c r="J99" s="387">
        <v>5.445026341931469</v>
      </c>
      <c r="K99"/>
      <c r="L99">
        <v>1800</v>
      </c>
      <c r="M99">
        <v>2010</v>
      </c>
      <c r="N99">
        <v>2011</v>
      </c>
      <c r="O99">
        <v>2030</v>
      </c>
      <c r="P99" s="387">
        <v>180</v>
      </c>
      <c r="Q99" s="384">
        <v>100</v>
      </c>
      <c r="R99">
        <v>10</v>
      </c>
      <c r="S99">
        <v>300</v>
      </c>
      <c r="T99">
        <v>1480</v>
      </c>
      <c r="U99">
        <v>10</v>
      </c>
      <c r="V99" s="384">
        <v>0.5555555555555556</v>
      </c>
      <c r="W99" s="420">
        <v>16</v>
      </c>
      <c r="X99" s="384">
        <v>82.22222222222221</v>
      </c>
      <c r="Y99" s="384">
        <v>0.5555555555555556</v>
      </c>
      <c r="Z99">
        <v>800</v>
      </c>
      <c r="AA99">
        <v>2310</v>
      </c>
      <c r="AB99">
        <v>10</v>
      </c>
      <c r="AC99">
        <v>110</v>
      </c>
      <c r="AD99">
        <v>640</v>
      </c>
      <c r="AE99">
        <v>40</v>
      </c>
      <c r="AF99">
        <v>10</v>
      </c>
      <c r="AG99">
        <v>340</v>
      </c>
      <c r="AH99">
        <v>1900</v>
      </c>
      <c r="AI99">
        <v>60</v>
      </c>
      <c r="AJ99">
        <v>190</v>
      </c>
      <c r="AK99">
        <v>440</v>
      </c>
      <c r="AL99">
        <v>10</v>
      </c>
      <c r="AM99">
        <v>90</v>
      </c>
      <c r="AN99">
        <v>20</v>
      </c>
      <c r="AO99">
        <v>270</v>
      </c>
      <c r="AP99">
        <v>1430</v>
      </c>
      <c r="AQ99">
        <v>200</v>
      </c>
      <c r="AR99">
        <v>240</v>
      </c>
      <c r="AS99">
        <v>100</v>
      </c>
      <c r="AT99">
        <v>240</v>
      </c>
      <c r="AU99">
        <v>1070</v>
      </c>
      <c r="AV99">
        <v>170</v>
      </c>
      <c r="AW99">
        <v>220</v>
      </c>
      <c r="AX99">
        <v>80</v>
      </c>
      <c r="AY99">
        <v>630</v>
      </c>
      <c r="AZ99">
        <v>1700</v>
      </c>
      <c r="BA99">
        <v>1310</v>
      </c>
      <c r="BB99" s="384">
        <v>0</v>
      </c>
      <c r="BC99" s="384">
        <v>10</v>
      </c>
      <c r="BD99" s="384">
        <v>80</v>
      </c>
      <c r="BE99" s="384">
        <v>20</v>
      </c>
      <c r="BF99" s="384">
        <v>50</v>
      </c>
      <c r="BG99" s="384">
        <v>20</v>
      </c>
      <c r="BH99" s="384">
        <v>3</v>
      </c>
      <c r="BI99" s="384">
        <v>70</v>
      </c>
      <c r="BJ99" s="384">
        <v>110</v>
      </c>
      <c r="BK99" s="384">
        <v>90</v>
      </c>
      <c r="BL99" s="248"/>
      <c r="BM99" s="205"/>
      <c r="BN99" s="205"/>
      <c r="BO99" s="205"/>
      <c r="BP99" s="205"/>
      <c r="BQ99" s="205"/>
      <c r="BR99" s="297"/>
      <c r="BS99" s="297"/>
      <c r="BT99" s="297"/>
      <c r="BU99" s="298"/>
      <c r="BV99" s="205"/>
      <c r="BW99" s="205"/>
      <c r="BX99" s="205"/>
      <c r="BY99" s="205"/>
      <c r="BZ99" s="205"/>
      <c r="CA99" s="299"/>
      <c r="CB99" s="299"/>
      <c r="CC99" s="205"/>
      <c r="CD99" s="205"/>
      <c r="CE99" s="205"/>
      <c r="CF99" s="205"/>
      <c r="CG99" s="364"/>
      <c r="CH99" s="364"/>
      <c r="CI99" s="364"/>
      <c r="CJ99" s="364"/>
      <c r="CK99" s="205"/>
      <c r="CL99" s="205"/>
      <c r="CM99" s="205"/>
      <c r="CN99" s="205"/>
      <c r="CO99" s="205"/>
      <c r="CP99" s="205"/>
      <c r="CQ99" s="205"/>
      <c r="CR99" s="205"/>
      <c r="CS99" s="205"/>
      <c r="CT99" s="205"/>
      <c r="CU99" s="299"/>
      <c r="CV99" s="299"/>
      <c r="CW99" s="299"/>
      <c r="CX99" s="299"/>
      <c r="CY99" s="299"/>
      <c r="CZ99" s="299"/>
      <c r="DA99" s="299"/>
      <c r="DB99" s="299"/>
      <c r="DC99" s="299"/>
      <c r="DD99" s="299"/>
      <c r="DE99" s="299"/>
      <c r="DF99" s="299"/>
      <c r="DG99" s="299"/>
      <c r="DH99" s="299"/>
      <c r="DI99" s="299"/>
      <c r="DJ99" s="205"/>
      <c r="DK99" s="205"/>
      <c r="DL99" s="249"/>
      <c r="DM99" s="368"/>
      <c r="DN99" s="368"/>
      <c r="DO99" s="368"/>
      <c r="DP99" s="368"/>
      <c r="DQ99" s="368"/>
      <c r="DR99" s="368"/>
      <c r="DS99" s="368"/>
      <c r="DT99" s="365"/>
      <c r="DU99" s="366"/>
      <c r="DV99" s="367"/>
      <c r="DW99" s="248"/>
      <c r="DX99" s="205"/>
      <c r="DY99" s="205"/>
      <c r="DZ99" s="205"/>
      <c r="EA99" s="205"/>
      <c r="EB99" s="205"/>
      <c r="EC99" s="297"/>
      <c r="ED99" s="297"/>
      <c r="EE99" s="297"/>
      <c r="EF99" s="298"/>
      <c r="EG99" s="205"/>
      <c r="EH99" s="205"/>
      <c r="EI99" s="205"/>
      <c r="EJ99" s="205"/>
      <c r="EK99" s="205"/>
      <c r="EL99" s="299"/>
      <c r="EM99" s="299"/>
      <c r="EN99" s="205"/>
      <c r="EO99" s="205"/>
      <c r="EP99" s="205"/>
      <c r="EQ99" s="205"/>
      <c r="ER99" s="364"/>
      <c r="ES99" s="364"/>
      <c r="ET99" s="364"/>
      <c r="EU99" s="364"/>
      <c r="EV99" s="205"/>
      <c r="EW99" s="205"/>
      <c r="EX99" s="205"/>
      <c r="EY99" s="205"/>
      <c r="EZ99" s="205"/>
      <c r="FA99" s="205"/>
      <c r="FB99" s="205"/>
      <c r="FC99" s="205"/>
      <c r="FD99" s="205"/>
      <c r="FE99" s="205"/>
      <c r="FF99" s="299"/>
      <c r="FG99" s="299"/>
      <c r="FH99" s="299"/>
      <c r="FI99" s="299"/>
      <c r="FJ99" s="299"/>
      <c r="FK99" s="299"/>
      <c r="FL99" s="299"/>
      <c r="FM99" s="299"/>
      <c r="FN99" s="299"/>
      <c r="FO99" s="299"/>
      <c r="FP99" s="299"/>
      <c r="FQ99" s="299"/>
      <c r="FR99" s="299"/>
      <c r="FS99" s="299"/>
      <c r="FT99" s="299"/>
      <c r="FU99" s="205"/>
      <c r="FV99" s="205"/>
      <c r="FW99" s="249"/>
      <c r="FX99" s="368"/>
      <c r="FY99" s="368"/>
      <c r="FZ99" s="368"/>
      <c r="GA99" s="368"/>
      <c r="GB99" s="368"/>
      <c r="GC99" s="368"/>
      <c r="GD99" s="368"/>
      <c r="GE99" s="365"/>
      <c r="GF99" s="366"/>
      <c r="GG99" s="367"/>
      <c r="GH99" s="248"/>
      <c r="GI99" s="205"/>
      <c r="GJ99" s="205"/>
      <c r="GK99" s="205"/>
      <c r="GL99" s="205"/>
      <c r="GM99" s="205"/>
      <c r="GN99" s="297"/>
      <c r="GO99" s="297"/>
      <c r="GP99" s="297"/>
      <c r="GQ99" s="298"/>
      <c r="GR99" s="205"/>
      <c r="GS99" s="205"/>
      <c r="GT99" s="205"/>
      <c r="GU99" s="205"/>
      <c r="GV99" s="205"/>
      <c r="GW99" s="299"/>
      <c r="GX99" s="299"/>
      <c r="GY99" s="205"/>
      <c r="GZ99" s="205"/>
      <c r="HA99" s="205"/>
      <c r="HB99" s="205"/>
      <c r="HC99" s="364"/>
      <c r="HD99" s="364"/>
      <c r="HE99" s="364"/>
      <c r="HF99" s="364"/>
      <c r="HG99" s="205"/>
      <c r="HH99" s="205"/>
      <c r="HI99" s="205"/>
      <c r="HJ99" s="205"/>
      <c r="HK99" s="205"/>
      <c r="HL99" s="205"/>
      <c r="HM99" s="205"/>
      <c r="HN99" s="205"/>
      <c r="HO99" s="205"/>
      <c r="HP99" s="205"/>
      <c r="HQ99" s="299"/>
      <c r="HR99" s="299"/>
      <c r="HS99" s="299"/>
      <c r="HT99" s="299"/>
      <c r="HU99" s="299"/>
      <c r="HV99" s="299"/>
      <c r="HW99" s="299"/>
      <c r="HX99" s="299"/>
      <c r="HY99" s="299"/>
      <c r="HZ99" s="299"/>
      <c r="IA99" s="299"/>
      <c r="IB99" s="299"/>
      <c r="IC99" s="299"/>
      <c r="ID99" s="299"/>
      <c r="IE99" s="299"/>
      <c r="IF99" s="205"/>
      <c r="IG99" s="205"/>
      <c r="IH99" s="249"/>
      <c r="II99" s="368"/>
      <c r="IJ99" s="368"/>
      <c r="IK99" s="368"/>
      <c r="IL99" s="368"/>
      <c r="IM99" s="368"/>
      <c r="IN99" s="368"/>
      <c r="IO99" s="368"/>
      <c r="IP99" s="365"/>
      <c r="IQ99" s="366"/>
      <c r="IR99" s="367"/>
      <c r="IS99" s="248"/>
      <c r="IT99" s="205"/>
      <c r="IU99" s="205"/>
      <c r="IV99" s="205"/>
    </row>
    <row r="100" spans="1:256" ht="12.75">
      <c r="A100" s="248">
        <f t="shared" si="1"/>
        <v>99</v>
      </c>
      <c r="B100" t="s">
        <v>27</v>
      </c>
      <c r="C100" t="s">
        <v>103</v>
      </c>
      <c r="D100" t="s">
        <v>103</v>
      </c>
      <c r="E100">
        <v>2011</v>
      </c>
      <c r="F100" t="s">
        <v>204</v>
      </c>
      <c r="G100" s="387">
        <v>4.1</v>
      </c>
      <c r="H100" s="387">
        <v>6.6</v>
      </c>
      <c r="I100" s="387">
        <v>6.2</v>
      </c>
      <c r="J100" s="387">
        <v>4.905147220249595</v>
      </c>
      <c r="K100"/>
      <c r="L100">
        <v>2520</v>
      </c>
      <c r="M100">
        <v>2010</v>
      </c>
      <c r="N100">
        <v>2011</v>
      </c>
      <c r="O100">
        <v>2030</v>
      </c>
      <c r="P100" s="387">
        <v>450</v>
      </c>
      <c r="Q100" s="384">
        <v>180</v>
      </c>
      <c r="R100">
        <v>180</v>
      </c>
      <c r="S100">
        <v>1110</v>
      </c>
      <c r="T100">
        <v>1160</v>
      </c>
      <c r="U100">
        <v>70</v>
      </c>
      <c r="V100" s="384">
        <v>7.142857142857142</v>
      </c>
      <c r="W100" s="384">
        <v>44.047619047619044</v>
      </c>
      <c r="X100" s="384">
        <v>46.03174603174603</v>
      </c>
      <c r="Y100" s="384">
        <v>2.7777777777777777</v>
      </c>
      <c r="Z100">
        <v>1040</v>
      </c>
      <c r="AA100">
        <v>2710</v>
      </c>
      <c r="AB100">
        <v>70</v>
      </c>
      <c r="AC100">
        <v>440</v>
      </c>
      <c r="AD100">
        <v>480</v>
      </c>
      <c r="AE100">
        <v>50</v>
      </c>
      <c r="AF100">
        <v>200</v>
      </c>
      <c r="AG100">
        <v>1120</v>
      </c>
      <c r="AH100">
        <v>1310</v>
      </c>
      <c r="AI100">
        <v>80</v>
      </c>
      <c r="AJ100">
        <v>70</v>
      </c>
      <c r="AK100">
        <v>370</v>
      </c>
      <c r="AL100">
        <v>40</v>
      </c>
      <c r="AM100">
        <v>200</v>
      </c>
      <c r="AN100">
        <v>240</v>
      </c>
      <c r="AO100">
        <v>70</v>
      </c>
      <c r="AP100">
        <v>960</v>
      </c>
      <c r="AQ100">
        <v>280</v>
      </c>
      <c r="AR100">
        <v>420</v>
      </c>
      <c r="AS100">
        <v>700</v>
      </c>
      <c r="AT100">
        <v>50</v>
      </c>
      <c r="AU100">
        <v>860</v>
      </c>
      <c r="AV100">
        <v>250</v>
      </c>
      <c r="AW100">
        <v>350</v>
      </c>
      <c r="AX100">
        <v>760</v>
      </c>
      <c r="AY100">
        <v>440</v>
      </c>
      <c r="AZ100">
        <v>1030</v>
      </c>
      <c r="BA100">
        <v>910</v>
      </c>
      <c r="BB100" s="384">
        <v>10</v>
      </c>
      <c r="BC100" s="384">
        <v>0</v>
      </c>
      <c r="BD100" s="384">
        <v>70</v>
      </c>
      <c r="BE100" s="384">
        <v>30</v>
      </c>
      <c r="BF100" s="384">
        <v>70</v>
      </c>
      <c r="BG100" s="384">
        <v>210</v>
      </c>
      <c r="BH100" s="384">
        <v>60</v>
      </c>
      <c r="BI100" s="384">
        <v>280</v>
      </c>
      <c r="BJ100" s="384">
        <v>100</v>
      </c>
      <c r="BK100" s="384">
        <v>70</v>
      </c>
      <c r="BL100" s="248"/>
      <c r="BM100" s="205"/>
      <c r="BN100" s="205"/>
      <c r="BO100" s="205"/>
      <c r="BP100" s="205"/>
      <c r="BQ100" s="205"/>
      <c r="BR100" s="297"/>
      <c r="BS100" s="297"/>
      <c r="BT100" s="297"/>
      <c r="BU100" s="298"/>
      <c r="BV100" s="205"/>
      <c r="BW100" s="205"/>
      <c r="BX100" s="205"/>
      <c r="BY100" s="205"/>
      <c r="BZ100" s="205"/>
      <c r="CA100" s="299"/>
      <c r="CB100" s="299"/>
      <c r="CC100" s="205"/>
      <c r="CD100" s="205"/>
      <c r="CE100" s="205"/>
      <c r="CF100" s="205"/>
      <c r="CG100" s="364"/>
      <c r="CH100" s="364"/>
      <c r="CI100" s="364"/>
      <c r="CJ100" s="364"/>
      <c r="CK100" s="205"/>
      <c r="CL100" s="205"/>
      <c r="CM100" s="205"/>
      <c r="CN100" s="205"/>
      <c r="CO100" s="205"/>
      <c r="CP100" s="205"/>
      <c r="CQ100" s="205"/>
      <c r="CR100" s="205"/>
      <c r="CS100" s="205"/>
      <c r="CT100" s="205"/>
      <c r="CU100" s="299"/>
      <c r="CV100" s="299"/>
      <c r="CW100" s="299"/>
      <c r="CX100" s="299"/>
      <c r="CY100" s="299"/>
      <c r="CZ100" s="299"/>
      <c r="DA100" s="299"/>
      <c r="DB100" s="299"/>
      <c r="DC100" s="299"/>
      <c r="DD100" s="299"/>
      <c r="DE100" s="299"/>
      <c r="DF100" s="299"/>
      <c r="DG100" s="299"/>
      <c r="DH100" s="299"/>
      <c r="DI100" s="299"/>
      <c r="DJ100" s="205"/>
      <c r="DK100" s="205"/>
      <c r="DL100" s="249"/>
      <c r="DM100" s="368"/>
      <c r="DN100" s="368"/>
      <c r="DO100" s="368"/>
      <c r="DP100" s="368"/>
      <c r="DQ100" s="368"/>
      <c r="DR100" s="368"/>
      <c r="DS100" s="368"/>
      <c r="DT100" s="365"/>
      <c r="DU100" s="366"/>
      <c r="DV100" s="367"/>
      <c r="DW100" s="248"/>
      <c r="DX100" s="205"/>
      <c r="DY100" s="205"/>
      <c r="DZ100" s="205"/>
      <c r="EA100" s="205"/>
      <c r="EB100" s="205"/>
      <c r="EC100" s="297"/>
      <c r="ED100" s="297"/>
      <c r="EE100" s="297"/>
      <c r="EF100" s="298"/>
      <c r="EG100" s="205"/>
      <c r="EH100" s="205"/>
      <c r="EI100" s="205"/>
      <c r="EJ100" s="205"/>
      <c r="EK100" s="205"/>
      <c r="EL100" s="299"/>
      <c r="EM100" s="299"/>
      <c r="EN100" s="205"/>
      <c r="EO100" s="205"/>
      <c r="EP100" s="205"/>
      <c r="EQ100" s="205"/>
      <c r="ER100" s="364"/>
      <c r="ES100" s="364"/>
      <c r="ET100" s="364"/>
      <c r="EU100" s="364"/>
      <c r="EV100" s="205"/>
      <c r="EW100" s="205"/>
      <c r="EX100" s="205"/>
      <c r="EY100" s="205"/>
      <c r="EZ100" s="205"/>
      <c r="FA100" s="205"/>
      <c r="FB100" s="205"/>
      <c r="FC100" s="205"/>
      <c r="FD100" s="205"/>
      <c r="FE100" s="205"/>
      <c r="FF100" s="299"/>
      <c r="FG100" s="299"/>
      <c r="FH100" s="299"/>
      <c r="FI100" s="299"/>
      <c r="FJ100" s="299"/>
      <c r="FK100" s="299"/>
      <c r="FL100" s="299"/>
      <c r="FM100" s="299"/>
      <c r="FN100" s="299"/>
      <c r="FO100" s="299"/>
      <c r="FP100" s="299"/>
      <c r="FQ100" s="299"/>
      <c r="FR100" s="299"/>
      <c r="FS100" s="299"/>
      <c r="FT100" s="299"/>
      <c r="FU100" s="205"/>
      <c r="FV100" s="205"/>
      <c r="FW100" s="249"/>
      <c r="FX100" s="368"/>
      <c r="FY100" s="368"/>
      <c r="FZ100" s="368"/>
      <c r="GA100" s="368"/>
      <c r="GB100" s="368"/>
      <c r="GC100" s="368"/>
      <c r="GD100" s="368"/>
      <c r="GE100" s="365"/>
      <c r="GF100" s="366"/>
      <c r="GG100" s="367"/>
      <c r="GH100" s="248"/>
      <c r="GI100" s="205"/>
      <c r="GJ100" s="205"/>
      <c r="GK100" s="205"/>
      <c r="GL100" s="205"/>
      <c r="GM100" s="205"/>
      <c r="GN100" s="297"/>
      <c r="GO100" s="297"/>
      <c r="GP100" s="297"/>
      <c r="GQ100" s="298"/>
      <c r="GR100" s="205"/>
      <c r="GS100" s="205"/>
      <c r="GT100" s="205"/>
      <c r="GU100" s="205"/>
      <c r="GV100" s="205"/>
      <c r="GW100" s="299"/>
      <c r="GX100" s="299"/>
      <c r="GY100" s="205"/>
      <c r="GZ100" s="205"/>
      <c r="HA100" s="205"/>
      <c r="HB100" s="205"/>
      <c r="HC100" s="364"/>
      <c r="HD100" s="364"/>
      <c r="HE100" s="364"/>
      <c r="HF100" s="364"/>
      <c r="HG100" s="205"/>
      <c r="HH100" s="205"/>
      <c r="HI100" s="205"/>
      <c r="HJ100" s="205"/>
      <c r="HK100" s="205"/>
      <c r="HL100" s="205"/>
      <c r="HM100" s="205"/>
      <c r="HN100" s="205"/>
      <c r="HO100" s="205"/>
      <c r="HP100" s="205"/>
      <c r="HQ100" s="299"/>
      <c r="HR100" s="299"/>
      <c r="HS100" s="299"/>
      <c r="HT100" s="299"/>
      <c r="HU100" s="299"/>
      <c r="HV100" s="299"/>
      <c r="HW100" s="299"/>
      <c r="HX100" s="299"/>
      <c r="HY100" s="299"/>
      <c r="HZ100" s="299"/>
      <c r="IA100" s="299"/>
      <c r="IB100" s="299"/>
      <c r="IC100" s="299"/>
      <c r="ID100" s="299"/>
      <c r="IE100" s="299"/>
      <c r="IF100" s="205"/>
      <c r="IG100" s="205"/>
      <c r="IH100" s="249"/>
      <c r="II100" s="368"/>
      <c r="IJ100" s="368"/>
      <c r="IK100" s="368"/>
      <c r="IL100" s="368"/>
      <c r="IM100" s="368"/>
      <c r="IN100" s="368"/>
      <c r="IO100" s="368"/>
      <c r="IP100" s="365"/>
      <c r="IQ100" s="366"/>
      <c r="IR100" s="367"/>
      <c r="IS100" s="248"/>
      <c r="IT100" s="205"/>
      <c r="IU100" s="205"/>
      <c r="IV100" s="205"/>
    </row>
    <row r="101" spans="1:256" ht="12.75">
      <c r="A101" s="248">
        <f t="shared" si="1"/>
        <v>100</v>
      </c>
      <c r="B101" s="388" t="s">
        <v>30</v>
      </c>
      <c r="C101" s="388" t="s">
        <v>483</v>
      </c>
      <c r="D101" s="388" t="s">
        <v>483</v>
      </c>
      <c r="E101" s="388">
        <v>2011</v>
      </c>
      <c r="F101" s="388" t="s">
        <v>204</v>
      </c>
      <c r="G101" s="389">
        <v>4.7</v>
      </c>
      <c r="H101" s="389">
        <v>6.7</v>
      </c>
      <c r="I101" s="389">
        <v>6.3</v>
      </c>
      <c r="J101" s="389">
        <v>5.745663161189496</v>
      </c>
      <c r="K101" s="388"/>
      <c r="L101" s="388">
        <v>11450</v>
      </c>
      <c r="M101" s="388">
        <v>2010</v>
      </c>
      <c r="N101" s="388">
        <v>2011</v>
      </c>
      <c r="O101" s="388">
        <v>2030</v>
      </c>
      <c r="P101" s="389">
        <v>1510</v>
      </c>
      <c r="Q101" s="390">
        <v>130</v>
      </c>
      <c r="R101" s="388">
        <v>350</v>
      </c>
      <c r="S101" s="388">
        <v>2920</v>
      </c>
      <c r="T101" s="388">
        <v>7680</v>
      </c>
      <c r="U101" s="388">
        <v>500</v>
      </c>
      <c r="V101" s="390">
        <v>3.056768558951965</v>
      </c>
      <c r="W101" s="390">
        <v>25.502183406113538</v>
      </c>
      <c r="X101" s="390">
        <v>67.07423580786026</v>
      </c>
      <c r="Y101" s="390">
        <v>4.366812227074235</v>
      </c>
      <c r="Z101" s="388">
        <v>4410</v>
      </c>
      <c r="AA101" s="388">
        <v>13480</v>
      </c>
      <c r="AB101" s="388">
        <v>340</v>
      </c>
      <c r="AC101" s="388">
        <v>1050</v>
      </c>
      <c r="AD101" s="388">
        <v>2860</v>
      </c>
      <c r="AE101" s="388">
        <v>160</v>
      </c>
      <c r="AF101" s="388">
        <v>510</v>
      </c>
      <c r="AG101" s="388">
        <v>3280</v>
      </c>
      <c r="AH101" s="388">
        <v>9180</v>
      </c>
      <c r="AI101" s="388">
        <v>510</v>
      </c>
      <c r="AJ101" s="388">
        <v>200</v>
      </c>
      <c r="AK101" s="388">
        <v>2310</v>
      </c>
      <c r="AL101" s="388">
        <v>350</v>
      </c>
      <c r="AM101" s="388">
        <v>390</v>
      </c>
      <c r="AN101" s="388">
        <v>660</v>
      </c>
      <c r="AO101" s="388">
        <v>210</v>
      </c>
      <c r="AP101" s="388">
        <v>6840</v>
      </c>
      <c r="AQ101" s="388">
        <v>2130</v>
      </c>
      <c r="AR101" s="388">
        <v>1340</v>
      </c>
      <c r="AS101" s="388">
        <v>1940</v>
      </c>
      <c r="AT101" s="388">
        <v>160</v>
      </c>
      <c r="AU101" s="388">
        <v>5620</v>
      </c>
      <c r="AV101" s="388">
        <v>1900</v>
      </c>
      <c r="AW101" s="388">
        <v>1160</v>
      </c>
      <c r="AX101" s="388">
        <v>1760</v>
      </c>
      <c r="AY101" s="388">
        <v>2510</v>
      </c>
      <c r="AZ101" s="388">
        <v>7050</v>
      </c>
      <c r="BA101" s="388">
        <v>5780</v>
      </c>
      <c r="BB101" s="390">
        <v>10</v>
      </c>
      <c r="BC101" s="390">
        <v>10</v>
      </c>
      <c r="BD101" s="390">
        <v>460</v>
      </c>
      <c r="BE101" s="390">
        <v>200</v>
      </c>
      <c r="BF101" s="390">
        <v>240</v>
      </c>
      <c r="BG101" s="390">
        <v>470</v>
      </c>
      <c r="BH101" s="390">
        <v>120</v>
      </c>
      <c r="BI101" s="384">
        <v>710</v>
      </c>
      <c r="BJ101" s="390">
        <v>670</v>
      </c>
      <c r="BK101" s="390">
        <v>470</v>
      </c>
      <c r="BL101" s="248"/>
      <c r="BM101" s="205"/>
      <c r="BN101" s="205"/>
      <c r="BO101" s="205"/>
      <c r="BP101" s="205"/>
      <c r="BQ101" s="205"/>
      <c r="BR101" s="297"/>
      <c r="BS101" s="297"/>
      <c r="BT101" s="297"/>
      <c r="BU101" s="298"/>
      <c r="BV101" s="205"/>
      <c r="BW101" s="205"/>
      <c r="BX101" s="205"/>
      <c r="BY101" s="205"/>
      <c r="BZ101" s="205"/>
      <c r="CA101" s="299"/>
      <c r="CB101" s="299"/>
      <c r="CC101" s="205"/>
      <c r="CD101" s="205"/>
      <c r="CE101" s="205"/>
      <c r="CF101" s="205"/>
      <c r="CG101" s="364"/>
      <c r="CH101" s="364"/>
      <c r="CI101" s="364"/>
      <c r="CJ101" s="364"/>
      <c r="CK101" s="205"/>
      <c r="CL101" s="205"/>
      <c r="CM101" s="205"/>
      <c r="CN101" s="205"/>
      <c r="CO101" s="205"/>
      <c r="CP101" s="205"/>
      <c r="CQ101" s="205"/>
      <c r="CR101" s="205"/>
      <c r="CS101" s="205"/>
      <c r="CT101" s="205"/>
      <c r="CU101" s="299"/>
      <c r="CV101" s="299"/>
      <c r="CW101" s="299"/>
      <c r="CX101" s="299"/>
      <c r="CY101" s="299"/>
      <c r="CZ101" s="299"/>
      <c r="DA101" s="299"/>
      <c r="DB101" s="299"/>
      <c r="DC101" s="299"/>
      <c r="DD101" s="299"/>
      <c r="DE101" s="299"/>
      <c r="DF101" s="299"/>
      <c r="DG101" s="299"/>
      <c r="DH101" s="299"/>
      <c r="DI101" s="299"/>
      <c r="DJ101" s="205"/>
      <c r="DK101" s="205"/>
      <c r="DL101" s="249"/>
      <c r="DM101" s="368"/>
      <c r="DN101" s="368"/>
      <c r="DO101" s="368"/>
      <c r="DP101" s="368"/>
      <c r="DQ101" s="368"/>
      <c r="DR101" s="368"/>
      <c r="DS101" s="368"/>
      <c r="DT101" s="365"/>
      <c r="DU101" s="366"/>
      <c r="DV101" s="367"/>
      <c r="DW101" s="248"/>
      <c r="DX101" s="205"/>
      <c r="DY101" s="205"/>
      <c r="DZ101" s="205"/>
      <c r="EA101" s="205"/>
      <c r="EB101" s="205"/>
      <c r="EC101" s="297"/>
      <c r="ED101" s="297"/>
      <c r="EE101" s="297"/>
      <c r="EF101" s="298"/>
      <c r="EG101" s="205"/>
      <c r="EH101" s="205"/>
      <c r="EI101" s="205"/>
      <c r="EJ101" s="205"/>
      <c r="EK101" s="205"/>
      <c r="EL101" s="299"/>
      <c r="EM101" s="299"/>
      <c r="EN101" s="205"/>
      <c r="EO101" s="205"/>
      <c r="EP101" s="205"/>
      <c r="EQ101" s="205"/>
      <c r="ER101" s="364"/>
      <c r="ES101" s="364"/>
      <c r="ET101" s="364"/>
      <c r="EU101" s="364"/>
      <c r="EV101" s="205"/>
      <c r="EW101" s="205"/>
      <c r="EX101" s="205"/>
      <c r="EY101" s="205"/>
      <c r="EZ101" s="205"/>
      <c r="FA101" s="205"/>
      <c r="FB101" s="205"/>
      <c r="FC101" s="205"/>
      <c r="FD101" s="205"/>
      <c r="FE101" s="205"/>
      <c r="FF101" s="299"/>
      <c r="FG101" s="299"/>
      <c r="FH101" s="299"/>
      <c r="FI101" s="299"/>
      <c r="FJ101" s="299"/>
      <c r="FK101" s="299"/>
      <c r="FL101" s="299"/>
      <c r="FM101" s="299"/>
      <c r="FN101" s="299"/>
      <c r="FO101" s="299"/>
      <c r="FP101" s="299"/>
      <c r="FQ101" s="299"/>
      <c r="FR101" s="299"/>
      <c r="FS101" s="299"/>
      <c r="FT101" s="299"/>
      <c r="FU101" s="205"/>
      <c r="FV101" s="205"/>
      <c r="FW101" s="249"/>
      <c r="FX101" s="368"/>
      <c r="FY101" s="368"/>
      <c r="FZ101" s="368"/>
      <c r="GA101" s="368"/>
      <c r="GB101" s="368"/>
      <c r="GC101" s="368"/>
      <c r="GD101" s="368"/>
      <c r="GE101" s="365"/>
      <c r="GF101" s="366"/>
      <c r="GG101" s="367"/>
      <c r="GH101" s="248"/>
      <c r="GI101" s="205"/>
      <c r="GJ101" s="205"/>
      <c r="GK101" s="205"/>
      <c r="GL101" s="205"/>
      <c r="GM101" s="205"/>
      <c r="GN101" s="297"/>
      <c r="GO101" s="297"/>
      <c r="GP101" s="297"/>
      <c r="GQ101" s="298"/>
      <c r="GR101" s="205"/>
      <c r="GS101" s="205"/>
      <c r="GT101" s="205"/>
      <c r="GU101" s="205"/>
      <c r="GV101" s="205"/>
      <c r="GW101" s="299"/>
      <c r="GX101" s="299"/>
      <c r="GY101" s="205"/>
      <c r="GZ101" s="205"/>
      <c r="HA101" s="205"/>
      <c r="HB101" s="205"/>
      <c r="HC101" s="364"/>
      <c r="HD101" s="364"/>
      <c r="HE101" s="364"/>
      <c r="HF101" s="364"/>
      <c r="HG101" s="205"/>
      <c r="HH101" s="205"/>
      <c r="HI101" s="205"/>
      <c r="HJ101" s="205"/>
      <c r="HK101" s="205"/>
      <c r="HL101" s="205"/>
      <c r="HM101" s="205"/>
      <c r="HN101" s="205"/>
      <c r="HO101" s="205"/>
      <c r="HP101" s="205"/>
      <c r="HQ101" s="299"/>
      <c r="HR101" s="299"/>
      <c r="HS101" s="299"/>
      <c r="HT101" s="299"/>
      <c r="HU101" s="299"/>
      <c r="HV101" s="299"/>
      <c r="HW101" s="299"/>
      <c r="HX101" s="299"/>
      <c r="HY101" s="299"/>
      <c r="HZ101" s="299"/>
      <c r="IA101" s="299"/>
      <c r="IB101" s="299"/>
      <c r="IC101" s="299"/>
      <c r="ID101" s="299"/>
      <c r="IE101" s="299"/>
      <c r="IF101" s="205"/>
      <c r="IG101" s="205"/>
      <c r="IH101" s="249"/>
      <c r="II101" s="368"/>
      <c r="IJ101" s="368"/>
      <c r="IK101" s="368"/>
      <c r="IL101" s="368"/>
      <c r="IM101" s="368"/>
      <c r="IN101" s="368"/>
      <c r="IO101" s="368"/>
      <c r="IP101" s="365"/>
      <c r="IQ101" s="366"/>
      <c r="IR101" s="367"/>
      <c r="IS101" s="248"/>
      <c r="IT101" s="205"/>
      <c r="IU101" s="205"/>
      <c r="IV101" s="205"/>
    </row>
    <row r="102" spans="1:256" ht="12.75">
      <c r="A102" s="248">
        <f t="shared" si="1"/>
        <v>101</v>
      </c>
      <c r="B102" s="388" t="s">
        <v>31</v>
      </c>
      <c r="C102" s="388" t="s">
        <v>101</v>
      </c>
      <c r="D102" s="388" t="s">
        <v>101</v>
      </c>
      <c r="E102" s="388">
        <v>2011</v>
      </c>
      <c r="F102" s="388" t="s">
        <v>204</v>
      </c>
      <c r="G102" s="389">
        <v>2.7</v>
      </c>
      <c r="H102" s="389">
        <v>2.9</v>
      </c>
      <c r="I102" s="389">
        <v>4.8</v>
      </c>
      <c r="J102" s="389">
        <v>1.7381905338958337</v>
      </c>
      <c r="K102" s="388"/>
      <c r="L102" s="388">
        <v>7530</v>
      </c>
      <c r="M102" s="388">
        <v>2010</v>
      </c>
      <c r="N102" s="388">
        <v>2011</v>
      </c>
      <c r="O102" s="388">
        <v>2030</v>
      </c>
      <c r="P102" s="389">
        <v>760</v>
      </c>
      <c r="Q102" s="390">
        <v>100</v>
      </c>
      <c r="R102" s="388">
        <v>50</v>
      </c>
      <c r="S102" s="388">
        <v>1110</v>
      </c>
      <c r="T102" s="388">
        <v>5540</v>
      </c>
      <c r="U102" s="388">
        <v>830</v>
      </c>
      <c r="V102" s="390">
        <v>0.6640106241699867</v>
      </c>
      <c r="W102" s="390">
        <v>14.741035856573706</v>
      </c>
      <c r="X102" s="421">
        <v>73</v>
      </c>
      <c r="Y102" s="390">
        <v>11.022576361221779</v>
      </c>
      <c r="Z102" s="388">
        <v>6610</v>
      </c>
      <c r="AA102" s="388">
        <v>9330</v>
      </c>
      <c r="AB102" s="388">
        <v>110</v>
      </c>
      <c r="AC102" s="388">
        <v>1000</v>
      </c>
      <c r="AD102" s="388">
        <v>3720</v>
      </c>
      <c r="AE102" s="388">
        <v>1780</v>
      </c>
      <c r="AF102" s="388">
        <v>140</v>
      </c>
      <c r="AG102" s="388">
        <v>1630</v>
      </c>
      <c r="AH102" s="388">
        <v>6800</v>
      </c>
      <c r="AI102" s="388">
        <v>760</v>
      </c>
      <c r="AJ102" s="388">
        <v>400</v>
      </c>
      <c r="AK102" s="388">
        <v>2580</v>
      </c>
      <c r="AL102" s="388">
        <v>740</v>
      </c>
      <c r="AM102" s="388">
        <v>670</v>
      </c>
      <c r="AN102" s="388">
        <v>330</v>
      </c>
      <c r="AO102" s="388">
        <v>990</v>
      </c>
      <c r="AP102" s="388">
        <v>4350</v>
      </c>
      <c r="AQ102" s="388">
        <v>1460</v>
      </c>
      <c r="AR102" s="388">
        <v>970</v>
      </c>
      <c r="AS102" s="388">
        <v>660</v>
      </c>
      <c r="AT102" s="388">
        <v>970</v>
      </c>
      <c r="AU102" s="388">
        <v>3550</v>
      </c>
      <c r="AV102" s="388">
        <v>1020</v>
      </c>
      <c r="AW102" s="388">
        <v>630</v>
      </c>
      <c r="AX102" s="388">
        <v>480</v>
      </c>
      <c r="AY102" s="388">
        <v>2980</v>
      </c>
      <c r="AZ102" s="388">
        <v>5340</v>
      </c>
      <c r="BA102" s="388">
        <v>4520</v>
      </c>
      <c r="BB102" s="390">
        <v>30</v>
      </c>
      <c r="BC102" s="390">
        <v>40</v>
      </c>
      <c r="BD102" s="390">
        <v>290</v>
      </c>
      <c r="BE102" s="390">
        <v>110</v>
      </c>
      <c r="BF102" s="390">
        <v>130</v>
      </c>
      <c r="BG102" s="390">
        <v>140</v>
      </c>
      <c r="BH102" s="390">
        <v>20</v>
      </c>
      <c r="BI102" s="384">
        <v>270</v>
      </c>
      <c r="BJ102" s="390">
        <v>440</v>
      </c>
      <c r="BK102" s="390">
        <v>330</v>
      </c>
      <c r="BL102" s="248"/>
      <c r="BM102" s="205"/>
      <c r="BN102" s="205"/>
      <c r="BO102" s="205"/>
      <c r="BP102" s="205"/>
      <c r="BQ102" s="205"/>
      <c r="BR102" s="297"/>
      <c r="BS102" s="297"/>
      <c r="BT102" s="297"/>
      <c r="BU102" s="298"/>
      <c r="BV102" s="205"/>
      <c r="BW102" s="205"/>
      <c r="BX102" s="205"/>
      <c r="BY102" s="205"/>
      <c r="BZ102" s="205"/>
      <c r="CA102" s="299"/>
      <c r="CB102" s="299"/>
      <c r="CC102" s="205"/>
      <c r="CD102" s="205"/>
      <c r="CE102" s="205"/>
      <c r="CF102" s="205"/>
      <c r="CG102" s="364"/>
      <c r="CH102" s="364"/>
      <c r="CI102" s="364"/>
      <c r="CJ102" s="364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205"/>
      <c r="CU102" s="299"/>
      <c r="CV102" s="299"/>
      <c r="CW102" s="299"/>
      <c r="CX102" s="299"/>
      <c r="CY102" s="299"/>
      <c r="CZ102" s="299"/>
      <c r="DA102" s="299"/>
      <c r="DB102" s="299"/>
      <c r="DC102" s="299"/>
      <c r="DD102" s="299"/>
      <c r="DE102" s="299"/>
      <c r="DF102" s="299"/>
      <c r="DG102" s="299"/>
      <c r="DH102" s="299"/>
      <c r="DI102" s="299"/>
      <c r="DJ102" s="205"/>
      <c r="DK102" s="205"/>
      <c r="DL102" s="249"/>
      <c r="DM102" s="368"/>
      <c r="DN102" s="368"/>
      <c r="DO102" s="368"/>
      <c r="DP102" s="368"/>
      <c r="DQ102" s="368"/>
      <c r="DR102" s="368"/>
      <c r="DS102" s="368"/>
      <c r="DT102" s="365"/>
      <c r="DU102" s="366"/>
      <c r="DV102" s="367"/>
      <c r="DW102" s="248"/>
      <c r="DX102" s="205"/>
      <c r="DY102" s="205"/>
      <c r="DZ102" s="205"/>
      <c r="EA102" s="205"/>
      <c r="EB102" s="205"/>
      <c r="EC102" s="297"/>
      <c r="ED102" s="297"/>
      <c r="EE102" s="297"/>
      <c r="EF102" s="298"/>
      <c r="EG102" s="205"/>
      <c r="EH102" s="205"/>
      <c r="EI102" s="205"/>
      <c r="EJ102" s="205"/>
      <c r="EK102" s="205"/>
      <c r="EL102" s="299"/>
      <c r="EM102" s="299"/>
      <c r="EN102" s="205"/>
      <c r="EO102" s="205"/>
      <c r="EP102" s="205"/>
      <c r="EQ102" s="205"/>
      <c r="ER102" s="364"/>
      <c r="ES102" s="364"/>
      <c r="ET102" s="364"/>
      <c r="EU102" s="364"/>
      <c r="EV102" s="205"/>
      <c r="EW102" s="205"/>
      <c r="EX102" s="205"/>
      <c r="EY102" s="205"/>
      <c r="EZ102" s="205"/>
      <c r="FA102" s="205"/>
      <c r="FB102" s="205"/>
      <c r="FC102" s="205"/>
      <c r="FD102" s="205"/>
      <c r="FE102" s="205"/>
      <c r="FF102" s="299"/>
      <c r="FG102" s="299"/>
      <c r="FH102" s="299"/>
      <c r="FI102" s="299"/>
      <c r="FJ102" s="299"/>
      <c r="FK102" s="299"/>
      <c r="FL102" s="299"/>
      <c r="FM102" s="299"/>
      <c r="FN102" s="299"/>
      <c r="FO102" s="299"/>
      <c r="FP102" s="299"/>
      <c r="FQ102" s="299"/>
      <c r="FR102" s="299"/>
      <c r="FS102" s="299"/>
      <c r="FT102" s="299"/>
      <c r="FU102" s="205"/>
      <c r="FV102" s="205"/>
      <c r="FW102" s="249"/>
      <c r="FX102" s="368"/>
      <c r="FY102" s="368"/>
      <c r="FZ102" s="368"/>
      <c r="GA102" s="368"/>
      <c r="GB102" s="368"/>
      <c r="GC102" s="368"/>
      <c r="GD102" s="368"/>
      <c r="GE102" s="365"/>
      <c r="GF102" s="366"/>
      <c r="GG102" s="367"/>
      <c r="GH102" s="248"/>
      <c r="GI102" s="205"/>
      <c r="GJ102" s="205"/>
      <c r="GK102" s="205"/>
      <c r="GL102" s="205"/>
      <c r="GM102" s="205"/>
      <c r="GN102" s="297"/>
      <c r="GO102" s="297"/>
      <c r="GP102" s="297"/>
      <c r="GQ102" s="298"/>
      <c r="GR102" s="205"/>
      <c r="GS102" s="205"/>
      <c r="GT102" s="205"/>
      <c r="GU102" s="205"/>
      <c r="GV102" s="205"/>
      <c r="GW102" s="299"/>
      <c r="GX102" s="299"/>
      <c r="GY102" s="205"/>
      <c r="GZ102" s="205"/>
      <c r="HA102" s="205"/>
      <c r="HB102" s="205"/>
      <c r="HC102" s="364"/>
      <c r="HD102" s="364"/>
      <c r="HE102" s="364"/>
      <c r="HF102" s="364"/>
      <c r="HG102" s="205"/>
      <c r="HH102" s="205"/>
      <c r="HI102" s="205"/>
      <c r="HJ102" s="205"/>
      <c r="HK102" s="205"/>
      <c r="HL102" s="205"/>
      <c r="HM102" s="205"/>
      <c r="HN102" s="205"/>
      <c r="HO102" s="205"/>
      <c r="HP102" s="205"/>
      <c r="HQ102" s="299"/>
      <c r="HR102" s="299"/>
      <c r="HS102" s="299"/>
      <c r="HT102" s="299"/>
      <c r="HU102" s="299"/>
      <c r="HV102" s="299"/>
      <c r="HW102" s="299"/>
      <c r="HX102" s="299"/>
      <c r="HY102" s="299"/>
      <c r="HZ102" s="299"/>
      <c r="IA102" s="299"/>
      <c r="IB102" s="299"/>
      <c r="IC102" s="299"/>
      <c r="ID102" s="299"/>
      <c r="IE102" s="299"/>
      <c r="IF102" s="205"/>
      <c r="IG102" s="205"/>
      <c r="IH102" s="249"/>
      <c r="II102" s="368"/>
      <c r="IJ102" s="368"/>
      <c r="IK102" s="368"/>
      <c r="IL102" s="368"/>
      <c r="IM102" s="368"/>
      <c r="IN102" s="368"/>
      <c r="IO102" s="368"/>
      <c r="IP102" s="365"/>
      <c r="IQ102" s="366"/>
      <c r="IR102" s="367"/>
      <c r="IS102" s="248"/>
      <c r="IT102" s="205"/>
      <c r="IU102" s="205"/>
      <c r="IV102" s="205"/>
    </row>
    <row r="103" spans="1:256" ht="12.75">
      <c r="A103" s="248">
        <f t="shared" si="1"/>
        <v>102</v>
      </c>
      <c r="B103" s="388" t="s">
        <v>32</v>
      </c>
      <c r="C103" s="388" t="s">
        <v>104</v>
      </c>
      <c r="D103" s="388" t="s">
        <v>104</v>
      </c>
      <c r="E103" s="388">
        <v>2011</v>
      </c>
      <c r="F103" s="388" t="s">
        <v>204</v>
      </c>
      <c r="G103" s="389">
        <v>4.2</v>
      </c>
      <c r="H103" s="389">
        <v>6.9</v>
      </c>
      <c r="I103" s="389">
        <v>6.1</v>
      </c>
      <c r="J103" s="389">
        <v>5.554096543034048</v>
      </c>
      <c r="K103" s="388"/>
      <c r="L103" s="388">
        <v>2570</v>
      </c>
      <c r="M103" s="388">
        <v>2010</v>
      </c>
      <c r="N103" s="388">
        <v>2011</v>
      </c>
      <c r="O103" s="388">
        <v>2030</v>
      </c>
      <c r="P103" s="389">
        <v>250</v>
      </c>
      <c r="Q103" s="390">
        <v>100</v>
      </c>
      <c r="R103" s="388">
        <v>10</v>
      </c>
      <c r="S103" s="388">
        <v>360</v>
      </c>
      <c r="T103" s="388">
        <v>2140</v>
      </c>
      <c r="U103" s="388">
        <v>60</v>
      </c>
      <c r="V103" s="420">
        <v>1</v>
      </c>
      <c r="W103" s="390">
        <v>14.007782101167315</v>
      </c>
      <c r="X103" s="390">
        <v>83.26848249027238</v>
      </c>
      <c r="Y103" s="390">
        <v>2.3346303501945527</v>
      </c>
      <c r="Z103" s="388">
        <v>1150</v>
      </c>
      <c r="AA103" s="388">
        <v>3390</v>
      </c>
      <c r="AB103" s="388">
        <v>10</v>
      </c>
      <c r="AC103" s="388">
        <v>140</v>
      </c>
      <c r="AD103" s="388">
        <v>900</v>
      </c>
      <c r="AE103" s="388">
        <v>100</v>
      </c>
      <c r="AF103" s="388">
        <v>10</v>
      </c>
      <c r="AG103" s="388">
        <v>410</v>
      </c>
      <c r="AH103" s="388">
        <v>2820</v>
      </c>
      <c r="AI103" s="388">
        <v>150</v>
      </c>
      <c r="AJ103" s="388">
        <v>250</v>
      </c>
      <c r="AK103" s="388">
        <v>630</v>
      </c>
      <c r="AL103" s="388">
        <v>20</v>
      </c>
      <c r="AM103" s="388">
        <v>110</v>
      </c>
      <c r="AN103" s="388">
        <v>30</v>
      </c>
      <c r="AO103" s="388">
        <v>420</v>
      </c>
      <c r="AP103" s="388">
        <v>2150</v>
      </c>
      <c r="AQ103" s="388">
        <v>250</v>
      </c>
      <c r="AR103" s="388">
        <v>300</v>
      </c>
      <c r="AS103" s="388">
        <v>110</v>
      </c>
      <c r="AT103" s="388">
        <v>360</v>
      </c>
      <c r="AU103" s="388">
        <v>1570</v>
      </c>
      <c r="AV103" s="388">
        <v>210</v>
      </c>
      <c r="AW103" s="388">
        <v>270</v>
      </c>
      <c r="AX103" s="388">
        <v>90</v>
      </c>
      <c r="AY103" s="388">
        <v>880</v>
      </c>
      <c r="AZ103" s="388">
        <v>2570</v>
      </c>
      <c r="BA103" s="388">
        <v>1930</v>
      </c>
      <c r="BB103" s="390">
        <v>2</v>
      </c>
      <c r="BC103" s="390">
        <v>20</v>
      </c>
      <c r="BD103" s="390">
        <v>120</v>
      </c>
      <c r="BE103" s="390">
        <v>20</v>
      </c>
      <c r="BF103" s="390">
        <v>60</v>
      </c>
      <c r="BG103" s="390">
        <v>30</v>
      </c>
      <c r="BH103" s="390">
        <v>3</v>
      </c>
      <c r="BI103" s="384">
        <v>90</v>
      </c>
      <c r="BJ103" s="390">
        <v>160</v>
      </c>
      <c r="BK103" s="390">
        <v>140</v>
      </c>
      <c r="BL103" s="248"/>
      <c r="BM103" s="205"/>
      <c r="BN103" s="205"/>
      <c r="BO103" s="205"/>
      <c r="BP103" s="205"/>
      <c r="BQ103" s="205"/>
      <c r="BR103" s="297"/>
      <c r="BS103" s="297"/>
      <c r="BT103" s="297"/>
      <c r="BU103" s="298"/>
      <c r="BV103" s="205"/>
      <c r="BW103" s="205"/>
      <c r="BX103" s="205"/>
      <c r="BY103" s="205"/>
      <c r="BZ103" s="205"/>
      <c r="CA103" s="299"/>
      <c r="CB103" s="299"/>
      <c r="CC103" s="205"/>
      <c r="CD103" s="205"/>
      <c r="CE103" s="205"/>
      <c r="CF103" s="205"/>
      <c r="CG103" s="364"/>
      <c r="CH103" s="364"/>
      <c r="CI103" s="364"/>
      <c r="CJ103" s="364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05"/>
      <c r="CU103" s="299"/>
      <c r="CV103" s="299"/>
      <c r="CW103" s="299"/>
      <c r="CX103" s="299"/>
      <c r="CY103" s="299"/>
      <c r="CZ103" s="299"/>
      <c r="DA103" s="299"/>
      <c r="DB103" s="299"/>
      <c r="DC103" s="299"/>
      <c r="DD103" s="299"/>
      <c r="DE103" s="299"/>
      <c r="DF103" s="299"/>
      <c r="DG103" s="299"/>
      <c r="DH103" s="299"/>
      <c r="DI103" s="299"/>
      <c r="DJ103" s="205"/>
      <c r="DK103" s="205"/>
      <c r="DL103" s="249"/>
      <c r="DM103" s="368"/>
      <c r="DN103" s="368"/>
      <c r="DO103" s="368"/>
      <c r="DP103" s="368"/>
      <c r="DQ103" s="368"/>
      <c r="DR103" s="368"/>
      <c r="DS103" s="368"/>
      <c r="DT103" s="365"/>
      <c r="DU103" s="366"/>
      <c r="DV103" s="367"/>
      <c r="DW103" s="248"/>
      <c r="DX103" s="205"/>
      <c r="DY103" s="205"/>
      <c r="DZ103" s="205"/>
      <c r="EA103" s="205"/>
      <c r="EB103" s="205"/>
      <c r="EC103" s="297"/>
      <c r="ED103" s="297"/>
      <c r="EE103" s="297"/>
      <c r="EF103" s="298"/>
      <c r="EG103" s="205"/>
      <c r="EH103" s="205"/>
      <c r="EI103" s="205"/>
      <c r="EJ103" s="205"/>
      <c r="EK103" s="205"/>
      <c r="EL103" s="299"/>
      <c r="EM103" s="299"/>
      <c r="EN103" s="205"/>
      <c r="EO103" s="205"/>
      <c r="EP103" s="205"/>
      <c r="EQ103" s="205"/>
      <c r="ER103" s="364"/>
      <c r="ES103" s="364"/>
      <c r="ET103" s="364"/>
      <c r="EU103" s="364"/>
      <c r="EV103" s="205"/>
      <c r="EW103" s="205"/>
      <c r="EX103" s="205"/>
      <c r="EY103" s="205"/>
      <c r="EZ103" s="205"/>
      <c r="FA103" s="205"/>
      <c r="FB103" s="205"/>
      <c r="FC103" s="205"/>
      <c r="FD103" s="205"/>
      <c r="FE103" s="205"/>
      <c r="FF103" s="299"/>
      <c r="FG103" s="299"/>
      <c r="FH103" s="299"/>
      <c r="FI103" s="299"/>
      <c r="FJ103" s="299"/>
      <c r="FK103" s="299"/>
      <c r="FL103" s="299"/>
      <c r="FM103" s="299"/>
      <c r="FN103" s="299"/>
      <c r="FO103" s="299"/>
      <c r="FP103" s="299"/>
      <c r="FQ103" s="299"/>
      <c r="FR103" s="299"/>
      <c r="FS103" s="299"/>
      <c r="FT103" s="299"/>
      <c r="FU103" s="205"/>
      <c r="FV103" s="205"/>
      <c r="FW103" s="249"/>
      <c r="FX103" s="368"/>
      <c r="FY103" s="368"/>
      <c r="FZ103" s="368"/>
      <c r="GA103" s="368"/>
      <c r="GB103" s="368"/>
      <c r="GC103" s="368"/>
      <c r="GD103" s="368"/>
      <c r="GE103" s="365"/>
      <c r="GF103" s="366"/>
      <c r="GG103" s="367"/>
      <c r="GH103" s="248"/>
      <c r="GI103" s="205"/>
      <c r="GJ103" s="205"/>
      <c r="GK103" s="205"/>
      <c r="GL103" s="205"/>
      <c r="GM103" s="205"/>
      <c r="GN103" s="297"/>
      <c r="GO103" s="297"/>
      <c r="GP103" s="297"/>
      <c r="GQ103" s="298"/>
      <c r="GR103" s="205"/>
      <c r="GS103" s="205"/>
      <c r="GT103" s="205"/>
      <c r="GU103" s="205"/>
      <c r="GV103" s="205"/>
      <c r="GW103" s="299"/>
      <c r="GX103" s="299"/>
      <c r="GY103" s="205"/>
      <c r="GZ103" s="205"/>
      <c r="HA103" s="205"/>
      <c r="HB103" s="205"/>
      <c r="HC103" s="364"/>
      <c r="HD103" s="364"/>
      <c r="HE103" s="364"/>
      <c r="HF103" s="364"/>
      <c r="HG103" s="205"/>
      <c r="HH103" s="205"/>
      <c r="HI103" s="205"/>
      <c r="HJ103" s="205"/>
      <c r="HK103" s="205"/>
      <c r="HL103" s="205"/>
      <c r="HM103" s="205"/>
      <c r="HN103" s="205"/>
      <c r="HO103" s="205"/>
      <c r="HP103" s="205"/>
      <c r="HQ103" s="299"/>
      <c r="HR103" s="299"/>
      <c r="HS103" s="299"/>
      <c r="HT103" s="299"/>
      <c r="HU103" s="299"/>
      <c r="HV103" s="299"/>
      <c r="HW103" s="299"/>
      <c r="HX103" s="299"/>
      <c r="HY103" s="299"/>
      <c r="HZ103" s="299"/>
      <c r="IA103" s="299"/>
      <c r="IB103" s="299"/>
      <c r="IC103" s="299"/>
      <c r="ID103" s="299"/>
      <c r="IE103" s="299"/>
      <c r="IF103" s="205"/>
      <c r="IG103" s="205"/>
      <c r="IH103" s="249"/>
      <c r="II103" s="368"/>
      <c r="IJ103" s="368"/>
      <c r="IK103" s="368"/>
      <c r="IL103" s="368"/>
      <c r="IM103" s="368"/>
      <c r="IN103" s="368"/>
      <c r="IO103" s="368"/>
      <c r="IP103" s="365"/>
      <c r="IQ103" s="366"/>
      <c r="IR103" s="367"/>
      <c r="IS103" s="248"/>
      <c r="IT103" s="205"/>
      <c r="IU103" s="205"/>
      <c r="IV103" s="205"/>
    </row>
    <row r="104" spans="1:256" ht="12.75">
      <c r="A104" s="248">
        <f t="shared" si="1"/>
        <v>103</v>
      </c>
      <c r="B104" t="s">
        <v>33</v>
      </c>
      <c r="C104" t="s">
        <v>100</v>
      </c>
      <c r="D104" t="s">
        <v>100</v>
      </c>
      <c r="E104">
        <v>2011</v>
      </c>
      <c r="F104" t="s">
        <v>204</v>
      </c>
      <c r="G104" s="387">
        <v>3.3</v>
      </c>
      <c r="H104" s="387">
        <v>5.1</v>
      </c>
      <c r="I104" s="387">
        <v>5.6</v>
      </c>
      <c r="J104" s="387">
        <v>3.620352164342089</v>
      </c>
      <c r="K104"/>
      <c r="L104">
        <v>33500</v>
      </c>
      <c r="M104">
        <v>2010</v>
      </c>
      <c r="N104">
        <v>2011</v>
      </c>
      <c r="O104">
        <v>2030</v>
      </c>
      <c r="P104" s="387">
        <v>4060</v>
      </c>
      <c r="Q104" s="384">
        <v>120</v>
      </c>
      <c r="R104">
        <v>820</v>
      </c>
      <c r="S104">
        <v>7330</v>
      </c>
      <c r="T104">
        <v>23370</v>
      </c>
      <c r="U104">
        <v>1980</v>
      </c>
      <c r="V104" s="384">
        <v>2.4477611940298507</v>
      </c>
      <c r="W104" s="384">
        <v>21.880597014925375</v>
      </c>
      <c r="X104" s="384">
        <v>69.76119402985074</v>
      </c>
      <c r="Y104" s="384">
        <v>5.91044776119403</v>
      </c>
      <c r="Z104">
        <v>19410</v>
      </c>
      <c r="AA104">
        <v>39530</v>
      </c>
      <c r="AB104">
        <v>770</v>
      </c>
      <c r="AC104">
        <v>3640</v>
      </c>
      <c r="AD104">
        <v>12100</v>
      </c>
      <c r="AE104">
        <v>2900</v>
      </c>
      <c r="AF104">
        <v>1140</v>
      </c>
      <c r="AG104">
        <v>8570</v>
      </c>
      <c r="AH104">
        <v>27750</v>
      </c>
      <c r="AI104">
        <v>2070</v>
      </c>
      <c r="AJ104">
        <v>1620</v>
      </c>
      <c r="AK104">
        <v>8790</v>
      </c>
      <c r="AL104">
        <v>1690</v>
      </c>
      <c r="AM104">
        <v>1890</v>
      </c>
      <c r="AN104">
        <v>1750</v>
      </c>
      <c r="AO104">
        <v>2470</v>
      </c>
      <c r="AP104">
        <v>19960</v>
      </c>
      <c r="AQ104">
        <v>5320</v>
      </c>
      <c r="AR104">
        <v>4120</v>
      </c>
      <c r="AS104">
        <v>4450</v>
      </c>
      <c r="AT104">
        <v>2240</v>
      </c>
      <c r="AU104">
        <v>16740</v>
      </c>
      <c r="AV104">
        <v>4390</v>
      </c>
      <c r="AW104">
        <v>3300</v>
      </c>
      <c r="AX104">
        <v>4030</v>
      </c>
      <c r="AY104">
        <v>10410</v>
      </c>
      <c r="AZ104">
        <v>22430</v>
      </c>
      <c r="BA104">
        <v>18980</v>
      </c>
      <c r="BB104" s="384">
        <v>70</v>
      </c>
      <c r="BC104" s="384">
        <v>100</v>
      </c>
      <c r="BD104" s="384">
        <v>1390</v>
      </c>
      <c r="BE104" s="384">
        <v>460</v>
      </c>
      <c r="BF104" s="384">
        <v>680</v>
      </c>
      <c r="BG104" s="384">
        <v>1090</v>
      </c>
      <c r="BH104" s="384">
        <v>270</v>
      </c>
      <c r="BI104" s="384">
        <v>1770</v>
      </c>
      <c r="BJ104" s="384">
        <v>1950</v>
      </c>
      <c r="BK104" s="384">
        <v>1490</v>
      </c>
      <c r="BL104" s="248"/>
      <c r="BM104" s="205"/>
      <c r="BN104" s="205"/>
      <c r="BO104" s="205"/>
      <c r="BP104" s="205"/>
      <c r="BQ104" s="205"/>
      <c r="BR104" s="297"/>
      <c r="BS104" s="297"/>
      <c r="BT104" s="297"/>
      <c r="BU104" s="298"/>
      <c r="BV104" s="205"/>
      <c r="BW104" s="205"/>
      <c r="BX104" s="205"/>
      <c r="BY104" s="205"/>
      <c r="BZ104" s="205"/>
      <c r="CA104" s="299"/>
      <c r="CB104" s="299"/>
      <c r="CC104" s="205"/>
      <c r="CD104" s="205"/>
      <c r="CE104" s="205"/>
      <c r="CF104" s="205"/>
      <c r="CG104" s="364"/>
      <c r="CH104" s="364"/>
      <c r="CI104" s="364"/>
      <c r="CJ104" s="364"/>
      <c r="CK104" s="205"/>
      <c r="CL104" s="205"/>
      <c r="CM104" s="205"/>
      <c r="CN104" s="205"/>
      <c r="CO104" s="205"/>
      <c r="CP104" s="205"/>
      <c r="CQ104" s="205"/>
      <c r="CR104" s="205"/>
      <c r="CS104" s="205"/>
      <c r="CT104" s="205"/>
      <c r="CU104" s="299"/>
      <c r="CV104" s="299"/>
      <c r="CW104" s="299"/>
      <c r="CX104" s="299"/>
      <c r="CY104" s="299"/>
      <c r="CZ104" s="299"/>
      <c r="DA104" s="299"/>
      <c r="DB104" s="299"/>
      <c r="DC104" s="299"/>
      <c r="DD104" s="299"/>
      <c r="DE104" s="299"/>
      <c r="DF104" s="299"/>
      <c r="DG104" s="299"/>
      <c r="DH104" s="299"/>
      <c r="DI104" s="299"/>
      <c r="DJ104" s="205"/>
      <c r="DK104" s="205"/>
      <c r="DL104" s="249"/>
      <c r="DM104" s="368"/>
      <c r="DN104" s="368"/>
      <c r="DO104" s="368"/>
      <c r="DP104" s="368"/>
      <c r="DQ104" s="368"/>
      <c r="DR104" s="368"/>
      <c r="DS104" s="368"/>
      <c r="DT104" s="365"/>
      <c r="DU104" s="366"/>
      <c r="DV104" s="367"/>
      <c r="DW104" s="248"/>
      <c r="DX104" s="205"/>
      <c r="DY104" s="205"/>
      <c r="DZ104" s="205"/>
      <c r="EA104" s="205"/>
      <c r="EB104" s="205"/>
      <c r="EC104" s="297"/>
      <c r="ED104" s="297"/>
      <c r="EE104" s="297"/>
      <c r="EF104" s="298"/>
      <c r="EG104" s="205"/>
      <c r="EH104" s="205"/>
      <c r="EI104" s="205"/>
      <c r="EJ104" s="205"/>
      <c r="EK104" s="205"/>
      <c r="EL104" s="299"/>
      <c r="EM104" s="299"/>
      <c r="EN104" s="205"/>
      <c r="EO104" s="205"/>
      <c r="EP104" s="205"/>
      <c r="EQ104" s="205"/>
      <c r="ER104" s="364"/>
      <c r="ES104" s="364"/>
      <c r="ET104" s="364"/>
      <c r="EU104" s="364"/>
      <c r="EV104" s="205"/>
      <c r="EW104" s="205"/>
      <c r="EX104" s="205"/>
      <c r="EY104" s="205"/>
      <c r="EZ104" s="205"/>
      <c r="FA104" s="205"/>
      <c r="FB104" s="205"/>
      <c r="FC104" s="205"/>
      <c r="FD104" s="205"/>
      <c r="FE104" s="205"/>
      <c r="FF104" s="299"/>
      <c r="FG104" s="299"/>
      <c r="FH104" s="299"/>
      <c r="FI104" s="299"/>
      <c r="FJ104" s="299"/>
      <c r="FK104" s="299"/>
      <c r="FL104" s="299"/>
      <c r="FM104" s="299"/>
      <c r="FN104" s="299"/>
      <c r="FO104" s="299"/>
      <c r="FP104" s="299"/>
      <c r="FQ104" s="299"/>
      <c r="FR104" s="299"/>
      <c r="FS104" s="299"/>
      <c r="FT104" s="299"/>
      <c r="FU104" s="205"/>
      <c r="FV104" s="205"/>
      <c r="FW104" s="249"/>
      <c r="FX104" s="368"/>
      <c r="FY104" s="368"/>
      <c r="FZ104" s="368"/>
      <c r="GA104" s="368"/>
      <c r="GB104" s="368"/>
      <c r="GC104" s="368"/>
      <c r="GD104" s="368"/>
      <c r="GE104" s="365"/>
      <c r="GF104" s="366"/>
      <c r="GG104" s="367"/>
      <c r="GH104" s="248"/>
      <c r="GI104" s="205"/>
      <c r="GJ104" s="205"/>
      <c r="GK104" s="205"/>
      <c r="GL104" s="205"/>
      <c r="GM104" s="205"/>
      <c r="GN104" s="297"/>
      <c r="GO104" s="297"/>
      <c r="GP104" s="297"/>
      <c r="GQ104" s="298"/>
      <c r="GR104" s="205"/>
      <c r="GS104" s="205"/>
      <c r="GT104" s="205"/>
      <c r="GU104" s="205"/>
      <c r="GV104" s="205"/>
      <c r="GW104" s="299"/>
      <c r="GX104" s="299"/>
      <c r="GY104" s="205"/>
      <c r="GZ104" s="205"/>
      <c r="HA104" s="205"/>
      <c r="HB104" s="205"/>
      <c r="HC104" s="364"/>
      <c r="HD104" s="364"/>
      <c r="HE104" s="364"/>
      <c r="HF104" s="364"/>
      <c r="HG104" s="205"/>
      <c r="HH104" s="205"/>
      <c r="HI104" s="205"/>
      <c r="HJ104" s="205"/>
      <c r="HK104" s="205"/>
      <c r="HL104" s="205"/>
      <c r="HM104" s="205"/>
      <c r="HN104" s="205"/>
      <c r="HO104" s="205"/>
      <c r="HP104" s="205"/>
      <c r="HQ104" s="299"/>
      <c r="HR104" s="299"/>
      <c r="HS104" s="299"/>
      <c r="HT104" s="299"/>
      <c r="HU104" s="299"/>
      <c r="HV104" s="299"/>
      <c r="HW104" s="299"/>
      <c r="HX104" s="299"/>
      <c r="HY104" s="299"/>
      <c r="HZ104" s="299"/>
      <c r="IA104" s="299"/>
      <c r="IB104" s="299"/>
      <c r="IC104" s="299"/>
      <c r="ID104" s="299"/>
      <c r="IE104" s="299"/>
      <c r="IF104" s="205"/>
      <c r="IG104" s="205"/>
      <c r="IH104" s="249"/>
      <c r="II104" s="368"/>
      <c r="IJ104" s="368"/>
      <c r="IK104" s="368"/>
      <c r="IL104" s="368"/>
      <c r="IM104" s="368"/>
      <c r="IN104" s="368"/>
      <c r="IO104" s="368"/>
      <c r="IP104" s="365"/>
      <c r="IQ104" s="366"/>
      <c r="IR104" s="367"/>
      <c r="IS104" s="248"/>
      <c r="IT104" s="205"/>
      <c r="IU104" s="205"/>
      <c r="IV104" s="205"/>
    </row>
    <row r="105" spans="1:80" ht="12.75">
      <c r="A105" s="248">
        <f>A104+1</f>
        <v>104</v>
      </c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1"/>
      <c r="AZ105" s="181"/>
      <c r="BA105" s="181"/>
      <c r="BB105" s="181"/>
      <c r="BC105" s="181"/>
      <c r="BD105" s="181"/>
      <c r="BE105" s="181"/>
      <c r="BF105" s="181"/>
      <c r="BG105" s="181"/>
      <c r="BH105" s="181"/>
      <c r="BI105" s="181"/>
      <c r="BJ105" s="181"/>
      <c r="BK105" s="213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80" ht="12.75">
      <c r="A106" s="248">
        <f t="shared" si="0"/>
        <v>105</v>
      </c>
      <c r="B106" s="181"/>
      <c r="C106" s="181">
        <v>1</v>
      </c>
      <c r="D106" s="181">
        <f aca="true" t="shared" si="2" ref="D106:L106">+C106+1</f>
        <v>2</v>
      </c>
      <c r="E106" s="181">
        <f t="shared" si="2"/>
        <v>3</v>
      </c>
      <c r="F106" s="181">
        <f t="shared" si="2"/>
        <v>4</v>
      </c>
      <c r="G106" s="181">
        <f t="shared" si="2"/>
        <v>5</v>
      </c>
      <c r="H106" s="181">
        <f t="shared" si="2"/>
        <v>6</v>
      </c>
      <c r="I106" s="181">
        <f t="shared" si="2"/>
        <v>7</v>
      </c>
      <c r="J106" s="181">
        <f t="shared" si="2"/>
        <v>8</v>
      </c>
      <c r="K106" s="181">
        <f t="shared" si="2"/>
        <v>9</v>
      </c>
      <c r="L106" s="181">
        <f t="shared" si="2"/>
        <v>10</v>
      </c>
      <c r="M106" s="181">
        <f aca="true" t="shared" si="3" ref="M106:AR106">L106+1</f>
        <v>11</v>
      </c>
      <c r="N106" s="181">
        <f t="shared" si="3"/>
        <v>12</v>
      </c>
      <c r="O106" s="181">
        <f t="shared" si="3"/>
        <v>13</v>
      </c>
      <c r="P106" s="181">
        <f t="shared" si="3"/>
        <v>14</v>
      </c>
      <c r="Q106" s="181">
        <f t="shared" si="3"/>
        <v>15</v>
      </c>
      <c r="R106" s="181">
        <f t="shared" si="3"/>
        <v>16</v>
      </c>
      <c r="S106" s="181">
        <f t="shared" si="3"/>
        <v>17</v>
      </c>
      <c r="T106" s="181">
        <f t="shared" si="3"/>
        <v>18</v>
      </c>
      <c r="U106" s="181">
        <f t="shared" si="3"/>
        <v>19</v>
      </c>
      <c r="V106" s="181">
        <f t="shared" si="3"/>
        <v>20</v>
      </c>
      <c r="W106" s="181">
        <f t="shared" si="3"/>
        <v>21</v>
      </c>
      <c r="X106" s="181">
        <f t="shared" si="3"/>
        <v>22</v>
      </c>
      <c r="Y106" s="181">
        <f t="shared" si="3"/>
        <v>23</v>
      </c>
      <c r="Z106" s="181">
        <f t="shared" si="3"/>
        <v>24</v>
      </c>
      <c r="AA106" s="181">
        <f t="shared" si="3"/>
        <v>25</v>
      </c>
      <c r="AB106" s="181">
        <f t="shared" si="3"/>
        <v>26</v>
      </c>
      <c r="AC106" s="181">
        <f t="shared" si="3"/>
        <v>27</v>
      </c>
      <c r="AD106" s="181">
        <f t="shared" si="3"/>
        <v>28</v>
      </c>
      <c r="AE106" s="181">
        <f t="shared" si="3"/>
        <v>29</v>
      </c>
      <c r="AF106" s="181">
        <f t="shared" si="3"/>
        <v>30</v>
      </c>
      <c r="AG106" s="181">
        <f t="shared" si="3"/>
        <v>31</v>
      </c>
      <c r="AH106" s="181">
        <f t="shared" si="3"/>
        <v>32</v>
      </c>
      <c r="AI106" s="181">
        <f t="shared" si="3"/>
        <v>33</v>
      </c>
      <c r="AJ106" s="181">
        <f t="shared" si="3"/>
        <v>34</v>
      </c>
      <c r="AK106" s="181">
        <f t="shared" si="3"/>
        <v>35</v>
      </c>
      <c r="AL106" s="181">
        <f t="shared" si="3"/>
        <v>36</v>
      </c>
      <c r="AM106" s="181">
        <f t="shared" si="3"/>
        <v>37</v>
      </c>
      <c r="AN106" s="181">
        <f t="shared" si="3"/>
        <v>38</v>
      </c>
      <c r="AO106" s="181">
        <f t="shared" si="3"/>
        <v>39</v>
      </c>
      <c r="AP106" s="181">
        <f t="shared" si="3"/>
        <v>40</v>
      </c>
      <c r="AQ106" s="181">
        <f t="shared" si="3"/>
        <v>41</v>
      </c>
      <c r="AR106" s="181">
        <f t="shared" si="3"/>
        <v>42</v>
      </c>
      <c r="AS106" s="181">
        <f aca="true" t="shared" si="4" ref="AS106:BK106">AR106+1</f>
        <v>43</v>
      </c>
      <c r="AT106" s="181">
        <f t="shared" si="4"/>
        <v>44</v>
      </c>
      <c r="AU106" s="181">
        <f t="shared" si="4"/>
        <v>45</v>
      </c>
      <c r="AV106" s="181">
        <f t="shared" si="4"/>
        <v>46</v>
      </c>
      <c r="AW106" s="181">
        <f t="shared" si="4"/>
        <v>47</v>
      </c>
      <c r="AX106" s="181">
        <f t="shared" si="4"/>
        <v>48</v>
      </c>
      <c r="AY106" s="181">
        <f aca="true" t="shared" si="5" ref="AY106:BA107">AX106+1</f>
        <v>49</v>
      </c>
      <c r="AZ106" s="181">
        <f t="shared" si="5"/>
        <v>50</v>
      </c>
      <c r="BA106" s="181">
        <f t="shared" si="5"/>
        <v>51</v>
      </c>
      <c r="BB106" s="181">
        <f t="shared" si="4"/>
        <v>52</v>
      </c>
      <c r="BC106" s="181">
        <f>BB106+1</f>
        <v>53</v>
      </c>
      <c r="BD106" s="181">
        <f t="shared" si="4"/>
        <v>54</v>
      </c>
      <c r="BE106" s="181">
        <f t="shared" si="4"/>
        <v>55</v>
      </c>
      <c r="BF106" s="181">
        <f t="shared" si="4"/>
        <v>56</v>
      </c>
      <c r="BG106" s="181">
        <f t="shared" si="4"/>
        <v>57</v>
      </c>
      <c r="BH106" s="181">
        <f t="shared" si="4"/>
        <v>58</v>
      </c>
      <c r="BI106" s="181">
        <f t="shared" si="4"/>
        <v>59</v>
      </c>
      <c r="BJ106" s="181">
        <f t="shared" si="4"/>
        <v>60</v>
      </c>
      <c r="BK106" s="213">
        <f t="shared" si="4"/>
        <v>61</v>
      </c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80" ht="12.75">
      <c r="A107" s="248">
        <f t="shared" si="0"/>
        <v>106</v>
      </c>
      <c r="B107" s="216">
        <v>1</v>
      </c>
      <c r="C107" s="216">
        <f aca="true" t="shared" si="6" ref="C107:L107">B107+1</f>
        <v>2</v>
      </c>
      <c r="D107" s="216">
        <f t="shared" si="6"/>
        <v>3</v>
      </c>
      <c r="E107" s="216">
        <f t="shared" si="6"/>
        <v>4</v>
      </c>
      <c r="F107" s="216">
        <f t="shared" si="6"/>
        <v>5</v>
      </c>
      <c r="G107" s="216">
        <f t="shared" si="6"/>
        <v>6</v>
      </c>
      <c r="H107" s="216">
        <f t="shared" si="6"/>
        <v>7</v>
      </c>
      <c r="I107" s="216">
        <f t="shared" si="6"/>
        <v>8</v>
      </c>
      <c r="J107" s="216">
        <f t="shared" si="6"/>
        <v>9</v>
      </c>
      <c r="K107" s="216">
        <f t="shared" si="6"/>
        <v>10</v>
      </c>
      <c r="L107" s="216">
        <f t="shared" si="6"/>
        <v>11</v>
      </c>
      <c r="M107" s="216">
        <f aca="true" t="shared" si="7" ref="M107:AR107">L107+1</f>
        <v>12</v>
      </c>
      <c r="N107" s="216">
        <f t="shared" si="7"/>
        <v>13</v>
      </c>
      <c r="O107" s="216">
        <f t="shared" si="7"/>
        <v>14</v>
      </c>
      <c r="P107" s="216">
        <f t="shared" si="7"/>
        <v>15</v>
      </c>
      <c r="Q107" s="216">
        <f t="shared" si="7"/>
        <v>16</v>
      </c>
      <c r="R107" s="216">
        <f t="shared" si="7"/>
        <v>17</v>
      </c>
      <c r="S107" s="216">
        <f t="shared" si="7"/>
        <v>18</v>
      </c>
      <c r="T107" s="216">
        <f t="shared" si="7"/>
        <v>19</v>
      </c>
      <c r="U107" s="216">
        <f t="shared" si="7"/>
        <v>20</v>
      </c>
      <c r="V107" s="216">
        <f t="shared" si="7"/>
        <v>21</v>
      </c>
      <c r="W107" s="216">
        <f t="shared" si="7"/>
        <v>22</v>
      </c>
      <c r="X107" s="216">
        <f t="shared" si="7"/>
        <v>23</v>
      </c>
      <c r="Y107" s="216">
        <f t="shared" si="7"/>
        <v>24</v>
      </c>
      <c r="Z107" s="216">
        <f t="shared" si="7"/>
        <v>25</v>
      </c>
      <c r="AA107" s="216">
        <f t="shared" si="7"/>
        <v>26</v>
      </c>
      <c r="AB107" s="216">
        <f t="shared" si="7"/>
        <v>27</v>
      </c>
      <c r="AC107" s="216">
        <f t="shared" si="7"/>
        <v>28</v>
      </c>
      <c r="AD107" s="216">
        <f t="shared" si="7"/>
        <v>29</v>
      </c>
      <c r="AE107" s="216">
        <f t="shared" si="7"/>
        <v>30</v>
      </c>
      <c r="AF107" s="216">
        <f t="shared" si="7"/>
        <v>31</v>
      </c>
      <c r="AG107" s="216">
        <f t="shared" si="7"/>
        <v>32</v>
      </c>
      <c r="AH107" s="216">
        <f t="shared" si="7"/>
        <v>33</v>
      </c>
      <c r="AI107" s="216">
        <f t="shared" si="7"/>
        <v>34</v>
      </c>
      <c r="AJ107" s="216">
        <f t="shared" si="7"/>
        <v>35</v>
      </c>
      <c r="AK107" s="216">
        <f t="shared" si="7"/>
        <v>36</v>
      </c>
      <c r="AL107" s="216">
        <f t="shared" si="7"/>
        <v>37</v>
      </c>
      <c r="AM107" s="216">
        <f t="shared" si="7"/>
        <v>38</v>
      </c>
      <c r="AN107" s="216">
        <f t="shared" si="7"/>
        <v>39</v>
      </c>
      <c r="AO107" s="216">
        <f t="shared" si="7"/>
        <v>40</v>
      </c>
      <c r="AP107" s="216">
        <f t="shared" si="7"/>
        <v>41</v>
      </c>
      <c r="AQ107" s="216">
        <f t="shared" si="7"/>
        <v>42</v>
      </c>
      <c r="AR107" s="216">
        <f t="shared" si="7"/>
        <v>43</v>
      </c>
      <c r="AS107" s="216">
        <f aca="true" t="shared" si="8" ref="AS107:BK107">AR107+1</f>
        <v>44</v>
      </c>
      <c r="AT107" s="216">
        <f t="shared" si="8"/>
        <v>45</v>
      </c>
      <c r="AU107" s="216">
        <f t="shared" si="8"/>
        <v>46</v>
      </c>
      <c r="AV107" s="216">
        <f t="shared" si="8"/>
        <v>47</v>
      </c>
      <c r="AW107" s="216">
        <f t="shared" si="8"/>
        <v>48</v>
      </c>
      <c r="AX107" s="216">
        <f t="shared" si="8"/>
        <v>49</v>
      </c>
      <c r="AY107" s="216">
        <f t="shared" si="5"/>
        <v>50</v>
      </c>
      <c r="AZ107" s="216">
        <f t="shared" si="5"/>
        <v>51</v>
      </c>
      <c r="BA107" s="216">
        <f t="shared" si="5"/>
        <v>52</v>
      </c>
      <c r="BB107" s="216">
        <f t="shared" si="8"/>
        <v>53</v>
      </c>
      <c r="BC107" s="216">
        <f>BB107+1</f>
        <v>54</v>
      </c>
      <c r="BD107" s="216">
        <f t="shared" si="8"/>
        <v>55</v>
      </c>
      <c r="BE107" s="216">
        <f t="shared" si="8"/>
        <v>56</v>
      </c>
      <c r="BF107" s="216">
        <f t="shared" si="8"/>
        <v>57</v>
      </c>
      <c r="BG107" s="216">
        <f t="shared" si="8"/>
        <v>58</v>
      </c>
      <c r="BH107" s="216">
        <f t="shared" si="8"/>
        <v>59</v>
      </c>
      <c r="BI107" s="216">
        <f t="shared" si="8"/>
        <v>60</v>
      </c>
      <c r="BJ107" s="216">
        <f t="shared" si="8"/>
        <v>61</v>
      </c>
      <c r="BK107" s="215">
        <f t="shared" si="8"/>
        <v>62</v>
      </c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69:80" ht="12.75"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2" ht="11.25">
      <c r="A109" s="254" t="s">
        <v>574</v>
      </c>
      <c r="B109" s="253" t="str">
        <f>'Region summary'!$B$5&amp;" "&amp;Sheet1!$F$114&amp;" "&amp;Sheet1!$F$113</f>
        <v>World 2011 20 years</v>
      </c>
    </row>
    <row r="111" spans="1:4" ht="11.25">
      <c r="A111" s="241" t="s">
        <v>381</v>
      </c>
      <c r="B111" s="211"/>
      <c r="C111" s="212"/>
      <c r="D111" s="196"/>
    </row>
    <row r="112" spans="1:9" ht="11.25">
      <c r="A112" s="217"/>
      <c r="B112" s="181"/>
      <c r="C112" s="213"/>
      <c r="D112" s="196"/>
      <c r="F112" s="240" t="s">
        <v>570</v>
      </c>
      <c r="G112" s="211"/>
      <c r="H112" s="211"/>
      <c r="I112" s="212"/>
    </row>
    <row r="113" spans="1:9" ht="11.25">
      <c r="A113" s="218" t="str">
        <f>'Region summary'!F34</f>
        <v>Regional jets</v>
      </c>
      <c r="B113" s="197">
        <f>'Region summary'!G34</f>
        <v>1980</v>
      </c>
      <c r="C113" s="219"/>
      <c r="D113" s="196"/>
      <c r="F113" s="217" t="str">
        <f>'Region summary'!B7</f>
        <v>20 years</v>
      </c>
      <c r="G113" s="256" t="s">
        <v>583</v>
      </c>
      <c r="H113" s="181"/>
      <c r="I113" s="213"/>
    </row>
    <row r="114" spans="1:9" ht="11.25">
      <c r="A114" s="218" t="str">
        <f>'Region summary'!F33</f>
        <v>Single aisle</v>
      </c>
      <c r="B114" s="197">
        <f>'Region summary'!G33</f>
        <v>23370</v>
      </c>
      <c r="C114" s="219"/>
      <c r="D114" s="196"/>
      <c r="F114" s="257">
        <f>'Region summary'!B6</f>
        <v>2011</v>
      </c>
      <c r="G114" s="258" t="s">
        <v>584</v>
      </c>
      <c r="H114" s="216"/>
      <c r="I114" s="215"/>
    </row>
    <row r="115" spans="1:12" ht="11.25">
      <c r="A115" s="218" t="str">
        <f>'Region summary'!F32</f>
        <v>Twin aisle</v>
      </c>
      <c r="B115" s="197">
        <f>'Region summary'!G32</f>
        <v>7330</v>
      </c>
      <c r="C115" s="219"/>
      <c r="D115" s="196"/>
      <c r="K115" s="240" t="s">
        <v>573</v>
      </c>
      <c r="L115" s="212"/>
    </row>
    <row r="116" spans="1:12" ht="11.25">
      <c r="A116" s="218" t="str">
        <f>'Region summary'!F31</f>
        <v>Large</v>
      </c>
      <c r="B116" s="197">
        <f>'Region summary'!G31</f>
        <v>820</v>
      </c>
      <c r="C116" s="219"/>
      <c r="D116" s="196"/>
      <c r="F116" s="240" t="s">
        <v>569</v>
      </c>
      <c r="G116" s="211"/>
      <c r="H116" s="212"/>
      <c r="K116" s="248" t="s">
        <v>112</v>
      </c>
      <c r="L116" s="213"/>
    </row>
    <row r="117" spans="1:12" ht="11.25">
      <c r="A117" s="218"/>
      <c r="B117" s="196"/>
      <c r="C117" s="219"/>
      <c r="D117" s="196"/>
      <c r="F117" s="217" t="s">
        <v>112</v>
      </c>
      <c r="G117" s="259">
        <v>2010</v>
      </c>
      <c r="H117" s="213"/>
      <c r="K117" s="260">
        <v>2011</v>
      </c>
      <c r="L117" s="213"/>
    </row>
    <row r="118" spans="1:12" ht="11.25">
      <c r="A118" s="218"/>
      <c r="B118" s="198">
        <f>baseyear</f>
        <v>2010</v>
      </c>
      <c r="C118" s="220">
        <f>baseyear+(LEFT(Forecast_timeframe,2))</f>
        <v>2030</v>
      </c>
      <c r="D118" s="196"/>
      <c r="F118" s="261" t="s">
        <v>203</v>
      </c>
      <c r="G118" s="259" t="s">
        <v>204</v>
      </c>
      <c r="H118" s="213"/>
      <c r="K118" s="217"/>
      <c r="L118" s="213"/>
    </row>
    <row r="119" spans="1:12" ht="11.25">
      <c r="A119" s="218" t="str">
        <f>'Region summary'!F41</f>
        <v>Regional jets</v>
      </c>
      <c r="B119" s="196">
        <f>'Region summary'!G41</f>
        <v>2900</v>
      </c>
      <c r="C119" s="221">
        <f>'Region summary'!H41</f>
        <v>2070</v>
      </c>
      <c r="D119" s="196"/>
      <c r="F119" s="214"/>
      <c r="G119" s="26"/>
      <c r="H119" s="213"/>
      <c r="K119" s="217" t="s">
        <v>309</v>
      </c>
      <c r="L119" s="213"/>
    </row>
    <row r="120" spans="1:12" ht="11.25">
      <c r="A120" s="218" t="str">
        <f>'Region summary'!F40</f>
        <v>Single aisle</v>
      </c>
      <c r="B120" s="196">
        <f>'Region summary'!G40</f>
        <v>12100</v>
      </c>
      <c r="C120" s="221">
        <f>'Region summary'!H40</f>
        <v>27750</v>
      </c>
      <c r="F120" s="214"/>
      <c r="G120" s="26"/>
      <c r="H120" s="213"/>
      <c r="K120" s="262" t="s">
        <v>204</v>
      </c>
      <c r="L120" s="213"/>
    </row>
    <row r="121" spans="1:12" ht="11.25">
      <c r="A121" s="218" t="str">
        <f>'Region summary'!F39</f>
        <v>Twin aisle</v>
      </c>
      <c r="B121" s="196">
        <f>'Region summary'!G39</f>
        <v>3640</v>
      </c>
      <c r="C121" s="221">
        <f>'Region summary'!H39</f>
        <v>8570</v>
      </c>
      <c r="F121" s="217" t="s">
        <v>206</v>
      </c>
      <c r="G121" s="259">
        <v>2010</v>
      </c>
      <c r="H121" s="213"/>
      <c r="K121" s="230"/>
      <c r="L121" s="215"/>
    </row>
    <row r="122" spans="1:8" ht="11.25">
      <c r="A122" s="222" t="str">
        <f>'Region summary'!F38</f>
        <v>Large</v>
      </c>
      <c r="B122" s="223">
        <f>'Region summary'!G38</f>
        <v>770</v>
      </c>
      <c r="C122" s="224">
        <f>'Region summary'!H38</f>
        <v>1140</v>
      </c>
      <c r="F122" s="230" t="s">
        <v>207</v>
      </c>
      <c r="G122" s="263">
        <f>G121+(LEFT(G118,2))</f>
        <v>2030</v>
      </c>
      <c r="H122" s="215"/>
    </row>
    <row r="125" spans="1:14" ht="11.25">
      <c r="A125" s="414" t="s">
        <v>571</v>
      </c>
      <c r="B125" s="225"/>
      <c r="C125" s="211" t="str">
        <f>'Region summary'!B5</f>
        <v>World</v>
      </c>
      <c r="D125" s="226"/>
      <c r="E125" s="226"/>
      <c r="F125" s="227"/>
      <c r="G125" s="227"/>
      <c r="H125" s="227"/>
      <c r="I125" s="227"/>
      <c r="J125" s="227"/>
      <c r="K125" s="227"/>
      <c r="L125" s="227"/>
      <c r="M125" s="227"/>
      <c r="N125" s="212"/>
    </row>
    <row r="126" spans="1:14" ht="11.25">
      <c r="A126" s="217" t="s">
        <v>201</v>
      </c>
      <c r="B126" s="22"/>
      <c r="C126" s="228"/>
      <c r="N126" s="213"/>
    </row>
    <row r="127" spans="1:14" ht="11.25">
      <c r="A127" s="217" t="str">
        <f>IF(ISBLANK(C132),"no",IF(ISNA(VLOOKUP("Grand total",$C$132:$C132,1,FALSE="Grand Total")),"yes","no"))</f>
        <v>yes</v>
      </c>
      <c r="B127" s="22"/>
      <c r="C127" s="283" t="s">
        <v>151</v>
      </c>
      <c r="D127" s="231" t="s">
        <v>350</v>
      </c>
      <c r="E127" s="181"/>
      <c r="F127" s="181"/>
      <c r="G127" s="181"/>
      <c r="H127" s="181"/>
      <c r="I127" s="181"/>
      <c r="J127" s="181"/>
      <c r="K127" s="181"/>
      <c r="L127" s="181"/>
      <c r="M127" s="181"/>
      <c r="N127" s="213"/>
    </row>
    <row r="128" spans="1:14" ht="11.25">
      <c r="A128" s="217" t="str">
        <f>IF(ISBLANK(C133),"no",IF(ISNA(VLOOKUP("Grand total",$C$132:$C133,1,FALSE="Grand Total")),"yes","no"))</f>
        <v>yes</v>
      </c>
      <c r="B128" s="22"/>
      <c r="C128" s="283" t="s">
        <v>383</v>
      </c>
      <c r="D128" s="360">
        <v>2011</v>
      </c>
      <c r="E128" s="181"/>
      <c r="F128" s="181"/>
      <c r="G128" s="181"/>
      <c r="H128" s="181"/>
      <c r="I128" s="181"/>
      <c r="J128" s="181"/>
      <c r="K128" s="181"/>
      <c r="L128" s="181"/>
      <c r="M128" s="181"/>
      <c r="N128" s="213"/>
    </row>
    <row r="129" spans="1:13" ht="11.25">
      <c r="A129" s="217" t="str">
        <f>IF(ISBLANK(C134),"no",IF(ISNA(VLOOKUP("Grand total",$C$132:$C134,1,FALSE="Grand Total")),"yes","no"))</f>
        <v>yes</v>
      </c>
      <c r="B129" s="72">
        <v>1</v>
      </c>
      <c r="C129" s="181"/>
      <c r="D129" s="199">
        <f aca="true" t="shared" si="9" ref="D129:I129">E129-1</f>
        <v>2002</v>
      </c>
      <c r="E129" s="199">
        <f t="shared" si="9"/>
        <v>2003</v>
      </c>
      <c r="F129" s="199">
        <f t="shared" si="9"/>
        <v>2004</v>
      </c>
      <c r="G129" s="199">
        <f t="shared" si="9"/>
        <v>2005</v>
      </c>
      <c r="H129" s="199">
        <f t="shared" si="9"/>
        <v>2006</v>
      </c>
      <c r="I129" s="199">
        <f t="shared" si="9"/>
        <v>2007</v>
      </c>
      <c r="J129" s="199">
        <f>K129-1</f>
        <v>2008</v>
      </c>
      <c r="K129" s="199">
        <v>2009</v>
      </c>
      <c r="L129" s="181" t="s">
        <v>386</v>
      </c>
      <c r="M129" s="181" t="s">
        <v>387</v>
      </c>
    </row>
    <row r="130" spans="1:18" ht="12.75">
      <c r="A130" s="217" t="str">
        <f>IF(ISBLANK(C135),"no",IF(ISNA(VLOOKUP("Grand total",$C$132:$C135,1,FALSE="Grand Total")),"yes","no"))</f>
        <v>yes</v>
      </c>
      <c r="B130" s="72">
        <f aca="true" t="shared" si="10" ref="B130:B161">B129+1</f>
        <v>2</v>
      </c>
      <c r="C130" s="210"/>
      <c r="D130" s="232" t="s">
        <v>193</v>
      </c>
      <c r="E130" s="233"/>
      <c r="F130" s="233"/>
      <c r="G130" s="233"/>
      <c r="H130" s="233"/>
      <c r="I130" s="233"/>
      <c r="J130" s="233"/>
      <c r="K130" s="233"/>
      <c r="L130" s="233"/>
      <c r="M130" s="234"/>
      <c r="N130"/>
      <c r="R130" s="195" t="s">
        <v>193</v>
      </c>
    </row>
    <row r="131" spans="1:27" ht="12.75">
      <c r="A131" s="217" t="str">
        <f>IF(ISBLANK(C136),"no",IF(ISNA(VLOOKUP("Grand total",$C$132:$C136,1,FALSE="Grand Total")),"yes","no"))</f>
        <v>yes</v>
      </c>
      <c r="B131" s="72">
        <f t="shared" si="10"/>
        <v>3</v>
      </c>
      <c r="C131" s="235" t="s">
        <v>150</v>
      </c>
      <c r="D131" s="200" t="s">
        <v>195</v>
      </c>
      <c r="E131" s="201" t="s">
        <v>196</v>
      </c>
      <c r="F131" s="201" t="s">
        <v>197</v>
      </c>
      <c r="G131" s="201" t="s">
        <v>198</v>
      </c>
      <c r="H131" s="201" t="s">
        <v>199</v>
      </c>
      <c r="I131" s="201" t="s">
        <v>200</v>
      </c>
      <c r="J131" s="201" t="s">
        <v>667</v>
      </c>
      <c r="K131" s="201" t="s">
        <v>11</v>
      </c>
      <c r="L131" s="201" t="s">
        <v>384</v>
      </c>
      <c r="M131" s="236" t="s">
        <v>385</v>
      </c>
      <c r="N131"/>
      <c r="Q131" s="195" t="s">
        <v>150</v>
      </c>
      <c r="R131" s="195" t="s">
        <v>192</v>
      </c>
      <c r="S131" s="195" t="s">
        <v>194</v>
      </c>
      <c r="T131" s="195" t="s">
        <v>195</v>
      </c>
      <c r="U131" s="195" t="s">
        <v>196</v>
      </c>
      <c r="V131" s="195" t="s">
        <v>197</v>
      </c>
      <c r="W131" s="195" t="s">
        <v>198</v>
      </c>
      <c r="X131" s="195" t="s">
        <v>199</v>
      </c>
      <c r="Y131" s="195" t="s">
        <v>200</v>
      </c>
      <c r="Z131" s="195" t="s">
        <v>384</v>
      </c>
      <c r="AA131" s="195" t="s">
        <v>385</v>
      </c>
    </row>
    <row r="132" spans="1:15" ht="12.75">
      <c r="A132" s="217" t="str">
        <f>IF(ISBLANK(C137),"no",IF(ISNA(VLOOKUP("Grand total",$C$132:$C137,1,FALSE="Grand Total")),"yes","no"))</f>
        <v>yes</v>
      </c>
      <c r="B132" s="72">
        <f t="shared" si="10"/>
        <v>4</v>
      </c>
      <c r="C132" s="237" t="s">
        <v>190</v>
      </c>
      <c r="D132" s="405">
        <v>3279.0920000000006</v>
      </c>
      <c r="E132" s="406">
        <v>3304.1760000000027</v>
      </c>
      <c r="F132" s="406">
        <v>3754.33</v>
      </c>
      <c r="G132" s="406">
        <v>4026.273999999999</v>
      </c>
      <c r="H132" s="406">
        <v>4233.615966354</v>
      </c>
      <c r="I132" s="406">
        <v>4538.853693633996</v>
      </c>
      <c r="J132" s="406">
        <v>4611.475352732135</v>
      </c>
      <c r="K132" s="406">
        <v>4519.245845677497</v>
      </c>
      <c r="L132" s="406">
        <v>4880.785513331697</v>
      </c>
      <c r="M132" s="407">
        <v>13312.460913023724</v>
      </c>
      <c r="N132"/>
      <c r="O132" s="229">
        <f>IF(L132&gt;0,(M132/L132)^(1/(endyear-baseyear))-1,0)</f>
        <v>0.051449529809793004</v>
      </c>
    </row>
    <row r="133" spans="1:15" ht="12.75">
      <c r="A133" s="217" t="str">
        <f>IF(ISBLANK(C138),"no",IF(ISNA(VLOOKUP("Grand total",$C$132:$C138,1,FALSE="Grand Total")),"yes","no"))</f>
        <v>yes</v>
      </c>
      <c r="B133" s="72">
        <f t="shared" si="10"/>
        <v>5</v>
      </c>
      <c r="C133" s="217" t="s">
        <v>588</v>
      </c>
      <c r="D133" s="408">
        <v>87.6514107894559</v>
      </c>
      <c r="E133" s="409">
        <v>84.67333088807929</v>
      </c>
      <c r="F133" s="409">
        <v>95.04442563959148</v>
      </c>
      <c r="G133" s="409">
        <v>100.94229799058651</v>
      </c>
      <c r="H133" s="409">
        <v>112.76543333358975</v>
      </c>
      <c r="I133" s="409">
        <v>123.76801671508396</v>
      </c>
      <c r="J133" s="409">
        <v>126.97884197331965</v>
      </c>
      <c r="K133" s="409">
        <v>130.69621949296527</v>
      </c>
      <c r="L133" s="409">
        <v>164.3743791698082</v>
      </c>
      <c r="M133" s="410">
        <v>600.8236874478256</v>
      </c>
      <c r="N133"/>
      <c r="O133" s="229">
        <f aca="true" t="shared" si="11" ref="O133:O178">IF(L133&gt;0,(M133/L133)^(1/(endyear-baseyear))-1,0)</f>
        <v>0.06695387745605985</v>
      </c>
    </row>
    <row r="134" spans="1:15" ht="12.75">
      <c r="A134" s="217" t="str">
        <f>IF(ISBLANK(C139),"no",IF(ISNA(VLOOKUP("Grand total",$C$132:$C139,1,FALSE="Grand Total")),"yes","no"))</f>
        <v>yes</v>
      </c>
      <c r="B134" s="72">
        <f t="shared" si="10"/>
        <v>6</v>
      </c>
      <c r="C134" s="217" t="s">
        <v>12</v>
      </c>
      <c r="D134" s="408">
        <v>46.942</v>
      </c>
      <c r="E134" s="409">
        <v>50.228</v>
      </c>
      <c r="F134" s="409">
        <v>54.749</v>
      </c>
      <c r="G134" s="409">
        <v>55.953</v>
      </c>
      <c r="H134" s="409">
        <v>57.347857015073416</v>
      </c>
      <c r="I134" s="409">
        <v>57.71724433946208</v>
      </c>
      <c r="J134" s="409">
        <v>61.23289354083867</v>
      </c>
      <c r="K134" s="409">
        <v>48.97971081927359</v>
      </c>
      <c r="L134" s="409">
        <v>52.89808768481548</v>
      </c>
      <c r="M134" s="410">
        <v>134.56367940423203</v>
      </c>
      <c r="N134"/>
      <c r="O134" s="229">
        <f t="shared" si="11"/>
        <v>0.04779034935552118</v>
      </c>
    </row>
    <row r="135" spans="1:15" ht="12.75">
      <c r="A135" s="217" t="str">
        <f>IF(ISBLANK(C140),"no",IF(ISNA(VLOOKUP("Grand total",$C$132:$C140,1,FALSE="Grand Total")),"yes","no"))</f>
        <v>yes</v>
      </c>
      <c r="B135" s="72">
        <f t="shared" si="10"/>
        <v>7</v>
      </c>
      <c r="C135" s="217" t="s">
        <v>587</v>
      </c>
      <c r="D135" s="408">
        <v>545.1103042918971</v>
      </c>
      <c r="E135" s="409">
        <v>518.9368215623612</v>
      </c>
      <c r="F135" s="409">
        <v>634.6070505445804</v>
      </c>
      <c r="G135" s="409">
        <v>692.8520923992028</v>
      </c>
      <c r="H135" s="409">
        <v>737.149863282504</v>
      </c>
      <c r="I135" s="409">
        <v>816.5721345419255</v>
      </c>
      <c r="J135" s="409">
        <v>840.032319956945</v>
      </c>
      <c r="K135" s="409">
        <v>859.2270367944952</v>
      </c>
      <c r="L135" s="409">
        <v>980.9069219605817</v>
      </c>
      <c r="M135" s="410">
        <v>3795.835581498747</v>
      </c>
      <c r="N135"/>
      <c r="O135" s="229">
        <f t="shared" si="11"/>
        <v>0.0700004976253239</v>
      </c>
    </row>
    <row r="136" spans="1:15" ht="12.75">
      <c r="A136" s="217" t="str">
        <f>IF(ISBLANK(C141),"no",IF(ISNA(VLOOKUP("Grand total",$C$132:$C141,1,FALSE="Grand Total")),"yes","no"))</f>
        <v>yes</v>
      </c>
      <c r="B136" s="72">
        <f t="shared" si="10"/>
        <v>8</v>
      </c>
      <c r="C136" s="217" t="s">
        <v>188</v>
      </c>
      <c r="D136" s="408">
        <v>73.13339171362695</v>
      </c>
      <c r="E136" s="409">
        <v>66.34370895769895</v>
      </c>
      <c r="F136" s="409">
        <v>86.71365430749071</v>
      </c>
      <c r="G136" s="409">
        <v>95.60543833597808</v>
      </c>
      <c r="H136" s="409">
        <v>96.04381467636865</v>
      </c>
      <c r="I136" s="409">
        <v>109.1838833500267</v>
      </c>
      <c r="J136" s="409">
        <v>113.60770731000818</v>
      </c>
      <c r="K136" s="409">
        <v>109.66663105832468</v>
      </c>
      <c r="L136" s="409">
        <v>130.6552168673908</v>
      </c>
      <c r="M136" s="410">
        <v>539.9769925900933</v>
      </c>
      <c r="N136"/>
      <c r="O136" s="229">
        <f t="shared" si="11"/>
        <v>0.0735256486010234</v>
      </c>
    </row>
    <row r="137" spans="1:15" ht="12.75">
      <c r="A137" s="217" t="str">
        <f>IF(ISBLANK(C142),"no",IF(ISNA(VLOOKUP("Grand total",$C$132:$C142,1,FALSE="Grand Total")),"yes","no"))</f>
        <v>yes</v>
      </c>
      <c r="B137" s="72">
        <f t="shared" si="10"/>
        <v>9</v>
      </c>
      <c r="C137" s="217" t="s">
        <v>0</v>
      </c>
      <c r="D137" s="408">
        <v>16.916882844181448</v>
      </c>
      <c r="E137" s="409">
        <v>17.786039859614025</v>
      </c>
      <c r="F137" s="409">
        <v>21.134652936641057</v>
      </c>
      <c r="G137" s="409">
        <v>25.157580456281735</v>
      </c>
      <c r="H137" s="409">
        <v>31.307106973552433</v>
      </c>
      <c r="I137" s="409">
        <v>36.28896978190151</v>
      </c>
      <c r="J137" s="409">
        <v>40.08260457755838</v>
      </c>
      <c r="K137" s="409">
        <v>43.80947882761863</v>
      </c>
      <c r="L137" s="409">
        <v>49.052227846033766</v>
      </c>
      <c r="M137" s="410">
        <v>294.14873270938836</v>
      </c>
      <c r="N137"/>
      <c r="O137" s="229">
        <f t="shared" si="11"/>
        <v>0.09369294898954839</v>
      </c>
    </row>
    <row r="138" spans="1:15" ht="12.75">
      <c r="A138" s="217" t="str">
        <f>IF(ISBLANK(C143),"no",IF(ISNA(VLOOKUP("Grand total",$C$132:$C143,1,FALSE="Grand Total")),"yes","no"))</f>
        <v>yes</v>
      </c>
      <c r="B138" s="72">
        <f t="shared" si="10"/>
        <v>10</v>
      </c>
      <c r="C138" s="217" t="s">
        <v>187</v>
      </c>
      <c r="D138" s="408">
        <v>56.970238760623</v>
      </c>
      <c r="E138" s="409">
        <v>51.916004809980954</v>
      </c>
      <c r="F138" s="409">
        <v>58.78714229947457</v>
      </c>
      <c r="G138" s="409">
        <v>64.07122552618691</v>
      </c>
      <c r="H138" s="409">
        <v>74.24963373586894</v>
      </c>
      <c r="I138" s="409">
        <v>83.0790019637455</v>
      </c>
      <c r="J138" s="409">
        <v>81.60267615990142</v>
      </c>
      <c r="K138" s="409">
        <v>86.92804270025381</v>
      </c>
      <c r="L138" s="409">
        <v>114.03533640084008</v>
      </c>
      <c r="M138" s="410">
        <v>440.01054111098193</v>
      </c>
      <c r="N138"/>
      <c r="O138" s="229">
        <f t="shared" si="11"/>
        <v>0.06984578909402162</v>
      </c>
    </row>
    <row r="139" spans="1:15" ht="12.75">
      <c r="A139" s="217" t="str">
        <f>IF(ISBLANK(C144),"no",IF(ISNA(VLOOKUP("Grand total",$C$132:$C144,1,FALSE="Grand Total")),"yes","no"))</f>
        <v>yes</v>
      </c>
      <c r="B139" s="72">
        <f t="shared" si="10"/>
        <v>11</v>
      </c>
      <c r="C139" s="217" t="s">
        <v>217</v>
      </c>
      <c r="D139" s="408">
        <v>49.84584468476507</v>
      </c>
      <c r="E139" s="409">
        <v>52.090416370207755</v>
      </c>
      <c r="F139" s="409">
        <v>65.23008800980735</v>
      </c>
      <c r="G139" s="409">
        <v>65.24891445046852</v>
      </c>
      <c r="H139" s="409">
        <v>70.84283916738205</v>
      </c>
      <c r="I139" s="409">
        <v>74.35423678066948</v>
      </c>
      <c r="J139" s="409">
        <v>72.00871764661255</v>
      </c>
      <c r="K139" s="409">
        <v>73.28949378028763</v>
      </c>
      <c r="L139" s="409">
        <v>80.64546302871011</v>
      </c>
      <c r="M139" s="410">
        <v>200.51772988039403</v>
      </c>
      <c r="N139"/>
      <c r="O139" s="229">
        <f t="shared" si="11"/>
        <v>0.04659496712875333</v>
      </c>
    </row>
    <row r="140" spans="1:15" ht="12.75">
      <c r="A140" s="217" t="str">
        <f>IF(ISBLANK(C145),"no",IF(ISNA(VLOOKUP("Grand total",$C$132:$C145,1,FALSE="Grand Total")),"yes","no"))</f>
        <v>yes</v>
      </c>
      <c r="B140" s="72">
        <f t="shared" si="10"/>
        <v>12</v>
      </c>
      <c r="C140" s="217" t="s">
        <v>185</v>
      </c>
      <c r="D140" s="408">
        <v>81.69154021454379</v>
      </c>
      <c r="E140" s="409">
        <v>78.82741774447031</v>
      </c>
      <c r="F140" s="409">
        <v>72.65763144241254</v>
      </c>
      <c r="G140" s="409">
        <v>70.10165997650257</v>
      </c>
      <c r="H140" s="409">
        <v>72.80281916861298</v>
      </c>
      <c r="I140" s="409">
        <v>74.92311680127402</v>
      </c>
      <c r="J140" s="409">
        <v>77.23684380049089</v>
      </c>
      <c r="K140" s="409">
        <v>71.789272448913</v>
      </c>
      <c r="L140" s="409">
        <v>71.75957941789072</v>
      </c>
      <c r="M140" s="410">
        <v>138.66564659613078</v>
      </c>
      <c r="N140"/>
      <c r="O140" s="229">
        <f t="shared" si="11"/>
        <v>0.03348564766377171</v>
      </c>
    </row>
    <row r="141" spans="1:15" ht="12.75">
      <c r="A141" s="217" t="str">
        <f>IF(ISBLANK(C146),"no",IF(ISNA(VLOOKUP("Grand total",$C$132:$C146,1,FALSE="Grand Total")),"yes","no"))</f>
        <v>yes</v>
      </c>
      <c r="B141" s="72">
        <f t="shared" si="10"/>
        <v>13</v>
      </c>
      <c r="C141" s="217" t="s">
        <v>181</v>
      </c>
      <c r="D141" s="408">
        <v>783.481</v>
      </c>
      <c r="E141" s="409">
        <v>828.273</v>
      </c>
      <c r="F141" s="409">
        <v>927.725</v>
      </c>
      <c r="G141" s="409">
        <v>972.256</v>
      </c>
      <c r="H141" s="409">
        <v>977.3648519713714</v>
      </c>
      <c r="I141" s="409">
        <v>1022.412789897166</v>
      </c>
      <c r="J141" s="409">
        <v>974.068885584245</v>
      </c>
      <c r="K141" s="409">
        <v>898.0632913763002</v>
      </c>
      <c r="L141" s="409">
        <v>918.0361774669062</v>
      </c>
      <c r="M141" s="410">
        <v>1444.6256603738632</v>
      </c>
      <c r="N141"/>
      <c r="O141" s="229">
        <f t="shared" si="11"/>
        <v>0.02292731690691774</v>
      </c>
    </row>
    <row r="142" spans="1:15" ht="12.75">
      <c r="A142" s="217" t="str">
        <f>IF(ISBLANK(C147),"no",IF(ISNA(VLOOKUP("Grand total",$C$132:$C147,1,FALSE="Grand Total")),"yes","no"))</f>
        <v>yes</v>
      </c>
      <c r="B142" s="72">
        <f t="shared" si="10"/>
        <v>14</v>
      </c>
      <c r="C142" s="217" t="s">
        <v>178</v>
      </c>
      <c r="D142" s="408">
        <v>33.13509582227812</v>
      </c>
      <c r="E142" s="409">
        <v>34.94670724155998</v>
      </c>
      <c r="F142" s="409">
        <v>40.831611550843746</v>
      </c>
      <c r="G142" s="409">
        <v>48.720100011125986</v>
      </c>
      <c r="H142" s="409">
        <v>53.67911301730273</v>
      </c>
      <c r="I142" s="409">
        <v>60.267899795179154</v>
      </c>
      <c r="J142" s="409">
        <v>63.365152658570146</v>
      </c>
      <c r="K142" s="409">
        <v>68.59308578061369</v>
      </c>
      <c r="L142" s="409">
        <v>77.04223583423256</v>
      </c>
      <c r="M142" s="410">
        <v>205.28045741449964</v>
      </c>
      <c r="N142"/>
      <c r="O142" s="229">
        <f t="shared" si="11"/>
        <v>0.05022157636421776</v>
      </c>
    </row>
    <row r="143" spans="1:15" ht="12.75">
      <c r="A143" s="217" t="str">
        <f>IF(ISBLANK(C148),"no",IF(ISNA(VLOOKUP("Grand total",$C$132:$C148,1,FALSE="Grand Total")),"yes","no"))</f>
        <v>yes</v>
      </c>
      <c r="B143" s="72">
        <f t="shared" si="10"/>
        <v>15</v>
      </c>
      <c r="C143" s="217" t="s">
        <v>172</v>
      </c>
      <c r="D143" s="408">
        <v>453.799</v>
      </c>
      <c r="E143" s="409">
        <v>474.7</v>
      </c>
      <c r="F143" s="409">
        <v>521.221</v>
      </c>
      <c r="G143" s="409">
        <v>561.876</v>
      </c>
      <c r="H143" s="409">
        <v>593.3216850078251</v>
      </c>
      <c r="I143" s="409">
        <v>634.2140393719126</v>
      </c>
      <c r="J143" s="409">
        <v>660.5464567666253</v>
      </c>
      <c r="K143" s="409">
        <v>624.9227740997529</v>
      </c>
      <c r="L143" s="409">
        <v>644.133413598509</v>
      </c>
      <c r="M143" s="410">
        <v>1412.35</v>
      </c>
      <c r="N143"/>
      <c r="O143" s="229">
        <f t="shared" si="11"/>
        <v>0.04003588743137754</v>
      </c>
    </row>
    <row r="144" spans="1:15" ht="12.75">
      <c r="A144" s="217" t="str">
        <f>IF(ISBLANK(C149),"no",IF(ISNA(VLOOKUP("Grand total",$C$132:$C149,1,FALSE="Grand Total")),"yes","no"))</f>
        <v>yes</v>
      </c>
      <c r="B144" s="72">
        <f t="shared" si="10"/>
        <v>16</v>
      </c>
      <c r="C144" s="217" t="s">
        <v>164</v>
      </c>
      <c r="D144" s="408">
        <v>100.20727462279481</v>
      </c>
      <c r="E144" s="409">
        <v>105.10965175534852</v>
      </c>
      <c r="F144" s="409">
        <v>142.44658484862143</v>
      </c>
      <c r="G144" s="409">
        <v>164.2064181326608</v>
      </c>
      <c r="H144" s="409">
        <v>189.78622102161594</v>
      </c>
      <c r="I144" s="409">
        <v>223.11580020000002</v>
      </c>
      <c r="J144" s="409">
        <v>236.53385989999998</v>
      </c>
      <c r="K144" s="409">
        <v>287.3610907759881</v>
      </c>
      <c r="L144" s="409">
        <v>335.440094</v>
      </c>
      <c r="M144" s="410">
        <v>1411.81</v>
      </c>
      <c r="N144"/>
      <c r="O144" s="229">
        <f t="shared" si="11"/>
        <v>0.07450406822547673</v>
      </c>
    </row>
    <row r="145" spans="1:15" ht="12.75">
      <c r="A145" s="217" t="str">
        <f>IF(ISBLANK(C150),"no",IF(ISNA(VLOOKUP("Grand total",$C$132:$C150,1,FALSE="Grand Total")),"yes","no"))</f>
        <v>yes</v>
      </c>
      <c r="B145" s="72">
        <f t="shared" si="10"/>
        <v>17</v>
      </c>
      <c r="C145" s="217" t="s">
        <v>158</v>
      </c>
      <c r="D145" s="408">
        <v>23.53954302410257</v>
      </c>
      <c r="E145" s="409">
        <v>25.662054048587148</v>
      </c>
      <c r="F145" s="409">
        <v>26.87470739852119</v>
      </c>
      <c r="G145" s="409">
        <v>26.64960697111888</v>
      </c>
      <c r="H145" s="409">
        <v>28.182735727062973</v>
      </c>
      <c r="I145" s="409">
        <v>29.675205908849104</v>
      </c>
      <c r="J145" s="409">
        <v>32.29304360166759</v>
      </c>
      <c r="K145" s="409">
        <v>29.797370305853896</v>
      </c>
      <c r="L145" s="409">
        <v>32.389642281340144</v>
      </c>
      <c r="M145" s="410">
        <v>84.94592833168048</v>
      </c>
      <c r="N145"/>
      <c r="O145" s="229">
        <f t="shared" si="11"/>
        <v>0.04938975698100312</v>
      </c>
    </row>
    <row r="146" spans="1:15" ht="12.75">
      <c r="A146" s="217" t="str">
        <f>IF(ISBLANK(C151),"no",IF(ISNA(VLOOKUP("Grand total",$C$132:$C151,1,FALSE="Grand Total")),"yes","no"))</f>
        <v>yes</v>
      </c>
      <c r="B146" s="72">
        <f t="shared" si="10"/>
        <v>18</v>
      </c>
      <c r="C146" s="217" t="s">
        <v>152</v>
      </c>
      <c r="D146" s="408">
        <v>24.31436037453738</v>
      </c>
      <c r="E146" s="409">
        <v>26.67396563902321</v>
      </c>
      <c r="F146" s="409">
        <v>29.481166963285247</v>
      </c>
      <c r="G146" s="409">
        <v>35.97304281781172</v>
      </c>
      <c r="H146" s="409">
        <v>35.56006928196569</v>
      </c>
      <c r="I146" s="409">
        <v>37.30992457523483</v>
      </c>
      <c r="J146" s="409">
        <v>41.58163231681399</v>
      </c>
      <c r="K146" s="409">
        <v>43.87738013235306</v>
      </c>
      <c r="L146" s="409">
        <v>49.963499451573945</v>
      </c>
      <c r="M146" s="410">
        <v>136.18527158031347</v>
      </c>
      <c r="N146"/>
      <c r="O146" s="229">
        <f t="shared" si="11"/>
        <v>0.05141426411226524</v>
      </c>
    </row>
    <row r="147" spans="1:15" ht="12.75">
      <c r="A147" s="217" t="str">
        <f>IF(ISBLANK(C152),"no",IF(ISNA(VLOOKUP("Grand total",$C$132:$C152,1,FALSE="Grand Total")),"yes","no"))</f>
        <v>yes</v>
      </c>
      <c r="B147" s="72">
        <f t="shared" si="10"/>
        <v>19</v>
      </c>
      <c r="C147" s="217" t="s">
        <v>1</v>
      </c>
      <c r="D147" s="408">
        <v>13.209239259758707</v>
      </c>
      <c r="E147" s="409">
        <v>12.12312903529932</v>
      </c>
      <c r="F147" s="409">
        <v>15.376046469986827</v>
      </c>
      <c r="G147" s="409">
        <v>20.693220603504873</v>
      </c>
      <c r="H147" s="409">
        <v>19.732687396726426</v>
      </c>
      <c r="I147" s="409">
        <v>22.594723197097572</v>
      </c>
      <c r="J147" s="409">
        <v>21.4915328781602</v>
      </c>
      <c r="K147" s="409">
        <v>22.274856444262124</v>
      </c>
      <c r="L147" s="409">
        <v>28.93723105787422</v>
      </c>
      <c r="M147" s="410">
        <v>148.8977927474241</v>
      </c>
      <c r="N147"/>
      <c r="O147" s="229">
        <f t="shared" si="11"/>
        <v>0.08535438295366071</v>
      </c>
    </row>
    <row r="148" spans="1:15" ht="12.75">
      <c r="A148" s="217" t="str">
        <f>IF(ISBLANK(C153),"no",IF(ISNA(VLOOKUP("Grand total",$C$132:$C153,1,FALSE="Grand Total")),"yes","no"))</f>
        <v>yes</v>
      </c>
      <c r="B148" s="72">
        <f t="shared" si="10"/>
        <v>20</v>
      </c>
      <c r="C148" s="217" t="s">
        <v>663</v>
      </c>
      <c r="D148" s="408">
        <v>14.878164766574427</v>
      </c>
      <c r="E148" s="409">
        <v>15.24106906584575</v>
      </c>
      <c r="F148" s="409">
        <v>26.384014652108586</v>
      </c>
      <c r="G148" s="409">
        <v>31.22984560112309</v>
      </c>
      <c r="H148" s="409">
        <v>37.768221299534495</v>
      </c>
      <c r="I148" s="409">
        <v>43.220071799728565</v>
      </c>
      <c r="J148" s="409">
        <v>52.397079306641494</v>
      </c>
      <c r="K148" s="409">
        <v>69.01142145946453</v>
      </c>
      <c r="L148" s="409">
        <v>87.91855988062635</v>
      </c>
      <c r="M148" s="410">
        <v>421.81338487134974</v>
      </c>
      <c r="N148"/>
      <c r="O148" s="229">
        <f t="shared" si="11"/>
        <v>0.08156341788230215</v>
      </c>
    </row>
    <row r="149" spans="1:15" ht="12.75">
      <c r="A149" s="217" t="str">
        <f>IF(ISBLANK(C154),"no",IF(ISNA(VLOOKUP("Grand total",$C$132:$C154,1,FALSE="Grand Total")),"yes","no"))</f>
        <v>yes</v>
      </c>
      <c r="B149" s="72">
        <f t="shared" si="10"/>
        <v>21</v>
      </c>
      <c r="C149" s="217" t="s">
        <v>218</v>
      </c>
      <c r="D149" s="408">
        <v>43.65694019145048</v>
      </c>
      <c r="E149" s="409">
        <v>43.89581727896398</v>
      </c>
      <c r="F149" s="409">
        <v>50.98239509918473</v>
      </c>
      <c r="G149" s="409">
        <v>56.66303738398949</v>
      </c>
      <c r="H149" s="409">
        <v>53.764444492451204</v>
      </c>
      <c r="I149" s="409">
        <v>58.07383911683267</v>
      </c>
      <c r="J149" s="409">
        <v>54.87995393027911</v>
      </c>
      <c r="K149" s="409">
        <v>56.4454393257076</v>
      </c>
      <c r="L149" s="409">
        <v>62.43271579848792</v>
      </c>
      <c r="M149" s="410">
        <v>195.0264060157461</v>
      </c>
      <c r="N149"/>
      <c r="O149" s="229">
        <f t="shared" si="11"/>
        <v>0.058605289117633186</v>
      </c>
    </row>
    <row r="150" spans="1:15" ht="12.75">
      <c r="A150" s="217" t="str">
        <f>IF(ISBLANK(C155),"no",IF(ISNA(VLOOKUP("Grand total",$C$132:$C155,1,FALSE="Grand Total")),"yes","no"))</f>
        <v>yes</v>
      </c>
      <c r="B150" s="72">
        <f t="shared" si="10"/>
        <v>22</v>
      </c>
      <c r="C150" s="217" t="s">
        <v>186</v>
      </c>
      <c r="D150" s="408">
        <v>63.688793162702446</v>
      </c>
      <c r="E150" s="409">
        <v>55.99260279883175</v>
      </c>
      <c r="F150" s="409">
        <v>66.2008276666929</v>
      </c>
      <c r="G150" s="409">
        <v>70.95420001006374</v>
      </c>
      <c r="H150" s="409">
        <v>77.02541347753967</v>
      </c>
      <c r="I150" s="409">
        <v>85.7098530667497</v>
      </c>
      <c r="J150" s="409">
        <v>84.04959863517806</v>
      </c>
      <c r="K150" s="409">
        <v>70.20821424058694</v>
      </c>
      <c r="L150" s="409">
        <v>74.07713225551775</v>
      </c>
      <c r="M150" s="410">
        <v>236.68754166013989</v>
      </c>
      <c r="N150"/>
      <c r="O150" s="229">
        <f t="shared" si="11"/>
        <v>0.059801578149871526</v>
      </c>
    </row>
    <row r="151" spans="1:15" ht="12.75">
      <c r="A151" s="217" t="str">
        <f>IF(ISBLANK(C156),"no",IF(ISNA(VLOOKUP("Grand total",$C$132:$C156,1,FALSE="Grand Total")),"yes","no"))</f>
        <v>yes</v>
      </c>
      <c r="B151" s="72">
        <f t="shared" si="10"/>
        <v>23</v>
      </c>
      <c r="C151" s="217" t="s">
        <v>216</v>
      </c>
      <c r="D151" s="408">
        <v>19.7584076910904</v>
      </c>
      <c r="E151" s="409">
        <v>17.847566632205414</v>
      </c>
      <c r="F151" s="409">
        <v>20.26070234122723</v>
      </c>
      <c r="G151" s="409">
        <v>18.999736475468413</v>
      </c>
      <c r="H151" s="409">
        <v>19.592708781192268</v>
      </c>
      <c r="I151" s="409">
        <v>20.806296805638347</v>
      </c>
      <c r="J151" s="409">
        <v>19.536792784765716</v>
      </c>
      <c r="K151" s="409">
        <v>12.886700797736646</v>
      </c>
      <c r="L151" s="409">
        <v>16.14622950884951</v>
      </c>
      <c r="M151" s="410">
        <v>31.282877546926798</v>
      </c>
      <c r="N151"/>
      <c r="O151" s="229">
        <f t="shared" si="11"/>
        <v>0.03362208145868961</v>
      </c>
    </row>
    <row r="152" spans="1:15" ht="12.75">
      <c r="A152" s="217" t="str">
        <f>IF(ISBLANK(C157),"no",IF(ISNA(VLOOKUP("Grand total",$C$132:$C157,1,FALSE="Grand Total")),"yes","no"))</f>
        <v>yes</v>
      </c>
      <c r="B152" s="72">
        <f t="shared" si="10"/>
        <v>24</v>
      </c>
      <c r="C152" s="217" t="s">
        <v>184</v>
      </c>
      <c r="D152" s="408">
        <v>28.97399681811856</v>
      </c>
      <c r="E152" s="409">
        <v>24.659976313076648</v>
      </c>
      <c r="F152" s="409">
        <v>29.675494279906598</v>
      </c>
      <c r="G152" s="409">
        <v>35.26585352629312</v>
      </c>
      <c r="H152" s="409">
        <v>34.12509697868524</v>
      </c>
      <c r="I152" s="409">
        <v>38.30810913867642</v>
      </c>
      <c r="J152" s="409">
        <v>38.590237492028436</v>
      </c>
      <c r="K152" s="409">
        <v>30.08040756090162</v>
      </c>
      <c r="L152" s="409">
        <v>30.73009622483833</v>
      </c>
      <c r="M152" s="410">
        <v>105.47651024805947</v>
      </c>
      <c r="N152"/>
      <c r="O152" s="229">
        <f t="shared" si="11"/>
        <v>0.06360309302119216</v>
      </c>
    </row>
    <row r="153" spans="1:15" ht="12.75">
      <c r="A153" s="217" t="str">
        <f>IF(ISBLANK(C158),"no",IF(ISNA(VLOOKUP("Grand total",$C$132:$C158,1,FALSE="Grand Total")),"yes","no"))</f>
        <v>yes</v>
      </c>
      <c r="B153" s="72">
        <f t="shared" si="10"/>
        <v>25</v>
      </c>
      <c r="C153" s="217" t="s">
        <v>183</v>
      </c>
      <c r="D153" s="408">
        <v>43.984247461066204</v>
      </c>
      <c r="E153" s="409">
        <v>38.87545804997632</v>
      </c>
      <c r="F153" s="409">
        <v>42.13140807077774</v>
      </c>
      <c r="G153" s="409">
        <v>46.22589121048318</v>
      </c>
      <c r="H153" s="409">
        <v>50.678983690477764</v>
      </c>
      <c r="I153" s="409">
        <v>52.06295490521649</v>
      </c>
      <c r="J153" s="409">
        <v>52.67790799886381</v>
      </c>
      <c r="K153" s="409">
        <v>56.872818410515734</v>
      </c>
      <c r="L153" s="409">
        <v>60.907076500193604</v>
      </c>
      <c r="M153" s="410">
        <v>240.144855553956</v>
      </c>
      <c r="N153"/>
      <c r="O153" s="229">
        <f t="shared" si="11"/>
        <v>0.07100198724829143</v>
      </c>
    </row>
    <row r="154" spans="1:15" ht="12.75">
      <c r="A154" s="217" t="str">
        <f>IF(ISBLANK(C159),"no",IF(ISNA(VLOOKUP("Grand total",$C$132:$C159,1,FALSE="Grand Total")),"yes","no"))</f>
        <v>yes</v>
      </c>
      <c r="B154" s="72">
        <f t="shared" si="10"/>
        <v>26</v>
      </c>
      <c r="C154" s="217" t="s">
        <v>215</v>
      </c>
      <c r="D154" s="408">
        <v>24.858831683353298</v>
      </c>
      <c r="E154" s="409">
        <v>25.402678419079013</v>
      </c>
      <c r="F154" s="409">
        <v>27.927143051356584</v>
      </c>
      <c r="G154" s="409">
        <v>29.063039734273914</v>
      </c>
      <c r="H154" s="409">
        <v>30.581932585357244</v>
      </c>
      <c r="I154" s="409">
        <v>32.11413566008465</v>
      </c>
      <c r="J154" s="409">
        <v>32.256683417325405</v>
      </c>
      <c r="K154" s="409">
        <v>34.81040081941998</v>
      </c>
      <c r="L154" s="409">
        <v>35.63807966124926</v>
      </c>
      <c r="M154" s="410">
        <v>84.24253075315433</v>
      </c>
      <c r="N154"/>
      <c r="O154" s="229">
        <f t="shared" si="11"/>
        <v>0.04395278098712918</v>
      </c>
    </row>
    <row r="155" spans="1:15" ht="12.75">
      <c r="A155" s="217" t="str">
        <f>IF(ISBLANK(C160),"no",IF(ISNA(VLOOKUP("Grand total",$C$132:$C160,1,FALSE="Grand Total")),"yes","no"))</f>
        <v>yes</v>
      </c>
      <c r="B155" s="72">
        <f t="shared" si="10"/>
        <v>27</v>
      </c>
      <c r="C155" s="217" t="s">
        <v>182</v>
      </c>
      <c r="D155" s="408">
        <v>115.77014382661723</v>
      </c>
      <c r="E155" s="409">
        <v>104.98529262734559</v>
      </c>
      <c r="F155" s="409">
        <v>113.90472991377075</v>
      </c>
      <c r="G155" s="409">
        <v>122.98649397586422</v>
      </c>
      <c r="H155" s="409">
        <v>116.54842444647055</v>
      </c>
      <c r="I155" s="409">
        <v>126.47316874915268</v>
      </c>
      <c r="J155" s="409">
        <v>118.8068676775929</v>
      </c>
      <c r="K155" s="409">
        <v>100.84508122163784</v>
      </c>
      <c r="L155" s="409">
        <v>106.33698140675266</v>
      </c>
      <c r="M155" s="410">
        <v>182.26502691480817</v>
      </c>
      <c r="N155"/>
      <c r="O155" s="229">
        <f t="shared" si="11"/>
        <v>0.02730866394916065</v>
      </c>
    </row>
    <row r="156" spans="1:15" ht="12.75">
      <c r="A156" s="217" t="str">
        <f>IF(ISBLANK(C161),"no",IF(ISNA(VLOOKUP("Grand total",$C$132:$C161,1,FALSE="Grand Total")),"yes","no"))</f>
        <v>yes</v>
      </c>
      <c r="B156" s="72">
        <f t="shared" si="10"/>
        <v>28</v>
      </c>
      <c r="C156" s="217" t="s">
        <v>180</v>
      </c>
      <c r="D156" s="408">
        <v>23.705774732607626</v>
      </c>
      <c r="E156" s="409">
        <v>22.579620551545403</v>
      </c>
      <c r="F156" s="409">
        <v>26.379624334564326</v>
      </c>
      <c r="G156" s="409">
        <v>29.45681998472697</v>
      </c>
      <c r="H156" s="409">
        <v>33.79091868448938</v>
      </c>
      <c r="I156" s="409">
        <v>38.74496721762744</v>
      </c>
      <c r="J156" s="409">
        <v>43.14117435061649</v>
      </c>
      <c r="K156" s="409">
        <v>46.65934576301279</v>
      </c>
      <c r="L156" s="409">
        <v>55.936887599174476</v>
      </c>
      <c r="M156" s="410">
        <v>204.84589683821878</v>
      </c>
      <c r="N156"/>
      <c r="O156" s="229">
        <f t="shared" si="11"/>
        <v>0.06705412384296028</v>
      </c>
    </row>
    <row r="157" spans="1:15" ht="12.75">
      <c r="A157" s="217" t="str">
        <f>IF(ISBLANK(C162),"no",IF(ISNA(VLOOKUP("Grand total",$C$132:$C162,1,FALSE="Grand Total")),"yes","no"))</f>
        <v>yes</v>
      </c>
      <c r="B157" s="72">
        <f t="shared" si="10"/>
        <v>29</v>
      </c>
      <c r="C157" s="217" t="s">
        <v>2</v>
      </c>
      <c r="D157" s="408">
        <v>30.68089503638973</v>
      </c>
      <c r="E157" s="409">
        <v>32.80185261401043</v>
      </c>
      <c r="F157" s="409">
        <v>34.33577973395771</v>
      </c>
      <c r="G157" s="409">
        <v>36.05943991171085</v>
      </c>
      <c r="H157" s="409">
        <v>41.965921796807926</v>
      </c>
      <c r="I157" s="409">
        <v>46.4943381591965</v>
      </c>
      <c r="J157" s="409">
        <v>49.459495245098545</v>
      </c>
      <c r="K157" s="409">
        <v>64.81415180180927</v>
      </c>
      <c r="L157" s="409">
        <v>74.94476880365505</v>
      </c>
      <c r="M157" s="410">
        <v>289.9539866165176</v>
      </c>
      <c r="N157"/>
      <c r="O157" s="229">
        <f t="shared" si="11"/>
        <v>0.06998918491078543</v>
      </c>
    </row>
    <row r="158" spans="1:15" ht="12.75">
      <c r="A158" s="217" t="str">
        <f>IF(ISBLANK(C163),"no",IF(ISNA(VLOOKUP("Grand total",$C$132:$C163,1,FALSE="Grand Total")),"yes","no"))</f>
        <v>yes</v>
      </c>
      <c r="B158" s="72">
        <f t="shared" si="10"/>
        <v>30</v>
      </c>
      <c r="C158" s="217" t="s">
        <v>179</v>
      </c>
      <c r="D158" s="408">
        <v>10.745318844040526</v>
      </c>
      <c r="E158" s="409">
        <v>12.951647487696395</v>
      </c>
      <c r="F158" s="409">
        <v>17.22672617482448</v>
      </c>
      <c r="G158" s="409">
        <v>16.080726542778955</v>
      </c>
      <c r="H158" s="409">
        <v>20.648271689384654</v>
      </c>
      <c r="I158" s="409">
        <v>23.440113505383692</v>
      </c>
      <c r="J158" s="409">
        <v>29.53583320992565</v>
      </c>
      <c r="K158" s="409">
        <v>41.56050583474906</v>
      </c>
      <c r="L158" s="409">
        <v>45.98368516973042</v>
      </c>
      <c r="M158" s="410">
        <v>187.74078384381457</v>
      </c>
      <c r="N158"/>
      <c r="O158" s="229">
        <f t="shared" si="11"/>
        <v>0.07287158384139825</v>
      </c>
    </row>
    <row r="159" spans="1:15" ht="12.75">
      <c r="A159" s="217" t="str">
        <f>IF(ISBLANK(C164),"no",IF(ISNA(VLOOKUP("Grand total",$C$132:$C164,1,FALSE="Grand Total")),"yes","no"))</f>
        <v>yes</v>
      </c>
      <c r="B159" s="72">
        <f t="shared" si="10"/>
        <v>31</v>
      </c>
      <c r="C159" s="217" t="s">
        <v>177</v>
      </c>
      <c r="D159" s="408">
        <v>96.31607411291175</v>
      </c>
      <c r="E159" s="409">
        <v>92.43806426246391</v>
      </c>
      <c r="F159" s="409">
        <v>100.69433223283693</v>
      </c>
      <c r="G159" s="409">
        <v>100.34799086823884</v>
      </c>
      <c r="H159" s="409">
        <v>97.58373692489167</v>
      </c>
      <c r="I159" s="409">
        <v>92.42117789946344</v>
      </c>
      <c r="J159" s="409">
        <v>99.98253302772405</v>
      </c>
      <c r="K159" s="409">
        <v>98.45870155028474</v>
      </c>
      <c r="L159" s="409">
        <v>100.12161888347417</v>
      </c>
      <c r="M159" s="410">
        <v>273.8327718017406</v>
      </c>
      <c r="N159"/>
      <c r="O159" s="229">
        <f t="shared" si="11"/>
        <v>0.051593463529114425</v>
      </c>
    </row>
    <row r="160" spans="1:15" ht="12.75">
      <c r="A160" s="217" t="str">
        <f>IF(ISBLANK(C165),"no",IF(ISNA(VLOOKUP("Grand total",$C$132:$C165,1,FALSE="Grand Total")),"yes","no"))</f>
        <v>yes</v>
      </c>
      <c r="B160" s="72">
        <f t="shared" si="10"/>
        <v>32</v>
      </c>
      <c r="C160" s="217" t="s">
        <v>3</v>
      </c>
      <c r="D160" s="408">
        <v>31.505567786556014</v>
      </c>
      <c r="E160" s="409">
        <v>33.21496765558738</v>
      </c>
      <c r="F160" s="409">
        <v>37.674368663665106</v>
      </c>
      <c r="G160" s="409">
        <v>43.416692458809415</v>
      </c>
      <c r="H160" s="409">
        <v>53.255437553717606</v>
      </c>
      <c r="I160" s="409">
        <v>58.50844411026603</v>
      </c>
      <c r="J160" s="409">
        <v>55.48457793192856</v>
      </c>
      <c r="K160" s="409">
        <v>51.2901736767294</v>
      </c>
      <c r="L160" s="409">
        <v>54.737146211968415</v>
      </c>
      <c r="M160" s="410">
        <v>205.9377030680748</v>
      </c>
      <c r="N160"/>
      <c r="O160" s="229">
        <f t="shared" si="11"/>
        <v>0.06849547098388853</v>
      </c>
    </row>
    <row r="161" spans="1:15" ht="12.75">
      <c r="A161" s="217" t="str">
        <f>IF(ISBLANK(C166),"no",IF(ISNA(VLOOKUP("Grand total",$C$132:$C166,1,FALSE="Grand Total")),"yes","no"))</f>
        <v>yes</v>
      </c>
      <c r="B161" s="72">
        <f t="shared" si="10"/>
        <v>33</v>
      </c>
      <c r="C161" s="217" t="s">
        <v>176</v>
      </c>
      <c r="D161" s="408">
        <v>50.0930157281135</v>
      </c>
      <c r="E161" s="409">
        <v>48.091384267822875</v>
      </c>
      <c r="F161" s="409">
        <v>54.97046961087781</v>
      </c>
      <c r="G161" s="409">
        <v>63.88557365195657</v>
      </c>
      <c r="H161" s="409">
        <v>67.36428600850067</v>
      </c>
      <c r="I161" s="409">
        <v>70.74710969806362</v>
      </c>
      <c r="J161" s="409">
        <v>75.16639756868686</v>
      </c>
      <c r="K161" s="409">
        <v>79.33940816436589</v>
      </c>
      <c r="L161" s="409">
        <v>81.85104922377269</v>
      </c>
      <c r="M161" s="410">
        <v>220.92871430976933</v>
      </c>
      <c r="N161"/>
      <c r="O161" s="229">
        <f t="shared" si="11"/>
        <v>0.05090000890194424</v>
      </c>
    </row>
    <row r="162" spans="1:15" ht="12.75">
      <c r="A162" s="217" t="str">
        <f>IF(ISBLANK(C167),"no",IF(ISNA(VLOOKUP("Grand total",$C$132:$C167,1,FALSE="Grand Total")),"yes","no"))</f>
        <v>yes</v>
      </c>
      <c r="B162" s="72">
        <f aca="true" t="shared" si="12" ref="B162:B184">B161+1</f>
        <v>34</v>
      </c>
      <c r="C162" s="217" t="s">
        <v>175</v>
      </c>
      <c r="D162" s="408">
        <v>56.928263573352794</v>
      </c>
      <c r="E162" s="409">
        <v>53.8595478743986</v>
      </c>
      <c r="F162" s="409">
        <v>58.485969876299514</v>
      </c>
      <c r="G162" s="409">
        <v>58.182548625936995</v>
      </c>
      <c r="H162" s="409">
        <v>58.7773639540798</v>
      </c>
      <c r="I162" s="409">
        <v>64.72624978130808</v>
      </c>
      <c r="J162" s="409">
        <v>66.16444048936033</v>
      </c>
      <c r="K162" s="409">
        <v>56.91473626944055</v>
      </c>
      <c r="L162" s="409">
        <v>60.02763288571642</v>
      </c>
      <c r="M162" s="410">
        <v>116.28237734694552</v>
      </c>
      <c r="N162"/>
      <c r="O162" s="229">
        <f t="shared" si="11"/>
        <v>0.03361340770224097</v>
      </c>
    </row>
    <row r="163" spans="1:15" ht="12.75">
      <c r="A163" s="217" t="str">
        <f>IF(ISBLANK(C168),"no",IF(ISNA(VLOOKUP("Grand total",$C$132:$C168,1,FALSE="Grand Total")),"yes","no"))</f>
        <v>yes</v>
      </c>
      <c r="B163" s="72">
        <f t="shared" si="12"/>
        <v>35</v>
      </c>
      <c r="C163" s="217" t="s">
        <v>174</v>
      </c>
      <c r="D163" s="408">
        <v>345.955</v>
      </c>
      <c r="E163" s="409">
        <v>349.471</v>
      </c>
      <c r="F163" s="409">
        <v>375.681</v>
      </c>
      <c r="G163" s="409">
        <v>390.708</v>
      </c>
      <c r="H163" s="409">
        <v>403.37463828329436</v>
      </c>
      <c r="I163" s="409">
        <v>420.6086177733024</v>
      </c>
      <c r="J163" s="409">
        <v>432.3757429542293</v>
      </c>
      <c r="K163" s="409">
        <v>405.40065524713987</v>
      </c>
      <c r="L163" s="409">
        <v>423.7829040449189</v>
      </c>
      <c r="M163" s="410">
        <v>862.9823923075515</v>
      </c>
      <c r="N163"/>
      <c r="O163" s="229">
        <f t="shared" si="11"/>
        <v>0.03619841848399119</v>
      </c>
    </row>
    <row r="164" spans="1:15" ht="12.75">
      <c r="A164" s="217" t="str">
        <f>IF(ISBLANK(C169),"no",IF(ISNA(VLOOKUP("Grand total",$C$132:$C169,1,FALSE="Grand Total")),"yes","no"))</f>
        <v>yes</v>
      </c>
      <c r="B164" s="72">
        <f t="shared" si="12"/>
        <v>36</v>
      </c>
      <c r="C164" s="217" t="s">
        <v>173</v>
      </c>
      <c r="D164" s="408">
        <v>71.35729863038176</v>
      </c>
      <c r="E164" s="409">
        <v>72.38796480778224</v>
      </c>
      <c r="F164" s="409">
        <v>79.85010540940452</v>
      </c>
      <c r="G164" s="409">
        <v>87.2800364941681</v>
      </c>
      <c r="H164" s="409">
        <v>99.18410969823724</v>
      </c>
      <c r="I164" s="409">
        <v>106.59329763454298</v>
      </c>
      <c r="J164" s="409">
        <v>115.15353765186275</v>
      </c>
      <c r="K164" s="409">
        <v>131.1603889149959</v>
      </c>
      <c r="L164" s="409">
        <v>143.66550671058886</v>
      </c>
      <c r="M164" s="410">
        <v>413.05317273598564</v>
      </c>
      <c r="N164"/>
      <c r="O164" s="229">
        <f t="shared" si="11"/>
        <v>0.054223450727739264</v>
      </c>
    </row>
    <row r="165" spans="1:15" ht="12.75">
      <c r="A165" s="217" t="str">
        <f>IF(ISBLANK(C170),"no",IF(ISNA(VLOOKUP("Grand total",$C$132:$C170,1,FALSE="Grand Total")),"yes","no"))</f>
        <v>yes</v>
      </c>
      <c r="B165" s="72">
        <f t="shared" si="12"/>
        <v>37</v>
      </c>
      <c r="C165" s="217" t="s">
        <v>169</v>
      </c>
      <c r="D165" s="408">
        <v>43.31840960907652</v>
      </c>
      <c r="E165" s="409">
        <v>36.182313897879204</v>
      </c>
      <c r="F165" s="409">
        <v>49.235206094402976</v>
      </c>
      <c r="G165" s="409">
        <v>55.8745662521389</v>
      </c>
      <c r="H165" s="409">
        <v>52.936921137610945</v>
      </c>
      <c r="I165" s="409">
        <v>57.46610590526096</v>
      </c>
      <c r="J165" s="409">
        <v>58.741415779611316</v>
      </c>
      <c r="K165" s="409">
        <v>53.95317149434556</v>
      </c>
      <c r="L165" s="409">
        <v>65.6964148810183</v>
      </c>
      <c r="M165" s="410">
        <v>322.4569884777229</v>
      </c>
      <c r="N165"/>
      <c r="O165" s="229">
        <f t="shared" si="11"/>
        <v>0.08279565945001788</v>
      </c>
    </row>
    <row r="166" spans="1:15" ht="12.75">
      <c r="A166" s="217" t="str">
        <f>IF(ISBLANK(C171),"no",IF(ISNA(VLOOKUP("Grand total",$C$132:$C171,1,FALSE="Grand Total")),"yes","no"))</f>
        <v>yes</v>
      </c>
      <c r="B166" s="72">
        <f t="shared" si="12"/>
        <v>38</v>
      </c>
      <c r="C166" s="217" t="s">
        <v>214</v>
      </c>
      <c r="D166" s="408">
        <v>11.801928825051514</v>
      </c>
      <c r="E166" s="409">
        <v>10.278539249002643</v>
      </c>
      <c r="F166" s="409">
        <v>15.361137791279246</v>
      </c>
      <c r="G166" s="409">
        <v>17.554814110491996</v>
      </c>
      <c r="H166" s="409">
        <v>19.263726838363084</v>
      </c>
      <c r="I166" s="409">
        <v>19.403792959979988</v>
      </c>
      <c r="J166" s="409">
        <v>21.373657528051943</v>
      </c>
      <c r="K166" s="409">
        <v>22.787977807444776</v>
      </c>
      <c r="L166" s="409">
        <v>27.734524910000346</v>
      </c>
      <c r="M166" s="410">
        <v>110.26</v>
      </c>
      <c r="N166"/>
      <c r="O166" s="229">
        <f t="shared" si="11"/>
        <v>0.07144495153672481</v>
      </c>
    </row>
    <row r="167" spans="1:15" ht="12.75">
      <c r="A167" s="217" t="str">
        <f>IF(ISBLANK(C172),"no",IF(ISNA(VLOOKUP("Grand total",$C$132:$C172,1,FALSE="Grand Total")),"yes","no"))</f>
        <v>yes</v>
      </c>
      <c r="B167" s="72">
        <f t="shared" si="12"/>
        <v>39</v>
      </c>
      <c r="C167" s="217" t="s">
        <v>167</v>
      </c>
      <c r="D167" s="408">
        <v>27.8816514728549</v>
      </c>
      <c r="E167" s="409">
        <v>22.459617982839287</v>
      </c>
      <c r="F167" s="409">
        <v>29.00812353683337</v>
      </c>
      <c r="G167" s="409">
        <v>31.79250621165367</v>
      </c>
      <c r="H167" s="409">
        <v>34.05116015108841</v>
      </c>
      <c r="I167" s="409">
        <v>34.65151657649457</v>
      </c>
      <c r="J167" s="409">
        <v>40.489635186228526</v>
      </c>
      <c r="K167" s="409">
        <v>34.75470979327949</v>
      </c>
      <c r="L167" s="409">
        <v>38.33009238880825</v>
      </c>
      <c r="M167" s="410">
        <v>166.10487327478137</v>
      </c>
      <c r="N167"/>
      <c r="O167" s="229">
        <f t="shared" si="11"/>
        <v>0.07607396845322745</v>
      </c>
    </row>
    <row r="168" spans="1:15" ht="12.75">
      <c r="A168" s="217" t="str">
        <f>IF(ISBLANK(C173),"no",IF(ISNA(VLOOKUP("Grand total",$C$132:$C173,1,FALSE="Grand Total")),"yes","no"))</f>
        <v>yes</v>
      </c>
      <c r="B168" s="72">
        <f t="shared" si="12"/>
        <v>40</v>
      </c>
      <c r="C168" s="217" t="s">
        <v>166</v>
      </c>
      <c r="D168" s="408">
        <v>33.418167901510365</v>
      </c>
      <c r="E168" s="409">
        <v>24.66375370032905</v>
      </c>
      <c r="F168" s="409">
        <v>38.50516560239974</v>
      </c>
      <c r="G168" s="409">
        <v>48.1421869304278</v>
      </c>
      <c r="H168" s="409">
        <v>51.43625266101276</v>
      </c>
      <c r="I168" s="409">
        <v>54.52287609528979</v>
      </c>
      <c r="J168" s="409">
        <v>62.698036905404805</v>
      </c>
      <c r="K168" s="409">
        <v>60.880879467200316</v>
      </c>
      <c r="L168" s="409">
        <v>71.17612927204532</v>
      </c>
      <c r="M168" s="410">
        <v>265.3</v>
      </c>
      <c r="N168"/>
      <c r="O168" s="229">
        <f t="shared" si="11"/>
        <v>0.0679972739981991</v>
      </c>
    </row>
    <row r="169" spans="1:15" ht="12.75">
      <c r="A169" s="217" t="str">
        <f>IF(ISBLANK(C174),"no",IF(ISNA(VLOOKUP("Grand total",$C$132:$C174,1,FALSE="Grand Total")),"yes","no"))</f>
        <v>yes</v>
      </c>
      <c r="B169" s="72">
        <f t="shared" si="12"/>
        <v>41</v>
      </c>
      <c r="C169" s="217" t="s">
        <v>165</v>
      </c>
      <c r="D169" s="408">
        <v>41.05407280424063</v>
      </c>
      <c r="E169" s="409">
        <v>36.18281642521868</v>
      </c>
      <c r="F169" s="409">
        <v>55.2209752950506</v>
      </c>
      <c r="G169" s="409">
        <v>63.102486780396696</v>
      </c>
      <c r="H169" s="409">
        <v>75.27063049979711</v>
      </c>
      <c r="I169" s="409">
        <v>91.03347985830406</v>
      </c>
      <c r="J169" s="409">
        <v>82.5220300237579</v>
      </c>
      <c r="K169" s="409">
        <v>77.32713863005219</v>
      </c>
      <c r="L169" s="409">
        <v>82.38100077095103</v>
      </c>
      <c r="M169" s="410">
        <v>340.3898060357486</v>
      </c>
      <c r="N169"/>
      <c r="O169" s="229">
        <f t="shared" si="11"/>
        <v>0.07351341053236338</v>
      </c>
    </row>
    <row r="170" spans="1:15" ht="12.75">
      <c r="A170" s="217" t="str">
        <f>IF(ISBLANK(C175),"no",IF(ISNA(VLOOKUP("Grand total",$C$132:$C175,1,FALSE="Grand Total")),"yes","no"))</f>
        <v>yes</v>
      </c>
      <c r="B170" s="72">
        <f t="shared" si="12"/>
        <v>42</v>
      </c>
      <c r="C170" s="217" t="s">
        <v>162</v>
      </c>
      <c r="D170" s="408">
        <v>7.141629004730331</v>
      </c>
      <c r="E170" s="409">
        <v>7.095272029511192</v>
      </c>
      <c r="F170" s="409">
        <v>9.382575941595732</v>
      </c>
      <c r="G170" s="409">
        <v>10.221465493280721</v>
      </c>
      <c r="H170" s="409">
        <v>10.333063870657845</v>
      </c>
      <c r="I170" s="409">
        <v>11.013808842489361</v>
      </c>
      <c r="J170" s="409">
        <v>13.08312221175063</v>
      </c>
      <c r="K170" s="409">
        <v>13.970806486857544</v>
      </c>
      <c r="L170" s="409">
        <v>17.949400487627983</v>
      </c>
      <c r="M170" s="410">
        <v>75.86721800516321</v>
      </c>
      <c r="N170"/>
      <c r="O170" s="229">
        <f t="shared" si="11"/>
        <v>0.07473207533556536</v>
      </c>
    </row>
    <row r="171" spans="1:15" ht="12.75">
      <c r="A171" s="217" t="str">
        <f>IF(ISBLANK(C176),"no",IF(ISNA(VLOOKUP("Grand total",$C$132:$C176,1,FALSE="Grand Total")),"yes","no"))</f>
        <v>yes</v>
      </c>
      <c r="B171" s="72">
        <f t="shared" si="12"/>
        <v>43</v>
      </c>
      <c r="C171" s="217" t="s">
        <v>160</v>
      </c>
      <c r="D171" s="408">
        <v>76.49493256937313</v>
      </c>
      <c r="E171" s="409">
        <v>79.93308497566309</v>
      </c>
      <c r="F171" s="409">
        <v>92.88896301334698</v>
      </c>
      <c r="G171" s="409">
        <v>100.5945682579375</v>
      </c>
      <c r="H171" s="409">
        <v>104.9942388242721</v>
      </c>
      <c r="I171" s="409">
        <v>106.82846681354962</v>
      </c>
      <c r="J171" s="409">
        <v>115.76848920578348</v>
      </c>
      <c r="K171" s="409">
        <v>104.6688655164181</v>
      </c>
      <c r="L171" s="409">
        <v>111.67863934270287</v>
      </c>
      <c r="M171" s="410">
        <v>249.66107217861878</v>
      </c>
      <c r="N171"/>
      <c r="O171" s="229">
        <f t="shared" si="11"/>
        <v>0.041043881089594114</v>
      </c>
    </row>
    <row r="172" spans="1:15" ht="12.75">
      <c r="A172" s="217" t="str">
        <f>IF(ISBLANK(C177),"no",IF(ISNA(VLOOKUP("Grand total",$C$132:$C177,1,FALSE="Grand Total")),"yes","no"))</f>
        <v>yes</v>
      </c>
      <c r="B172" s="72">
        <f t="shared" si="12"/>
        <v>44</v>
      </c>
      <c r="C172" s="217" t="s">
        <v>159</v>
      </c>
      <c r="D172" s="408">
        <v>55.447890820500874</v>
      </c>
      <c r="E172" s="409">
        <v>57.442230309022385</v>
      </c>
      <c r="F172" s="409">
        <v>63.713796370461324</v>
      </c>
      <c r="G172" s="409">
        <v>67.04870904689857</v>
      </c>
      <c r="H172" s="409">
        <v>74.14699178901645</v>
      </c>
      <c r="I172" s="409">
        <v>80.70715318592974</v>
      </c>
      <c r="J172" s="409">
        <v>83.29337825269977</v>
      </c>
      <c r="K172" s="409">
        <v>77.07782277686196</v>
      </c>
      <c r="L172" s="409">
        <v>74.9108919152072</v>
      </c>
      <c r="M172" s="410">
        <v>177.6095917022379</v>
      </c>
      <c r="N172"/>
      <c r="O172" s="229">
        <f t="shared" si="11"/>
        <v>0.04410956038583369</v>
      </c>
    </row>
    <row r="173" spans="1:15" ht="12.75">
      <c r="A173" s="217" t="str">
        <f>IF(ISBLANK(C178),"no",IF(ISNA(VLOOKUP("Grand total",$C$132:$C178,1,FALSE="Grand Total")),"yes","no"))</f>
        <v>no</v>
      </c>
      <c r="B173" s="72">
        <f t="shared" si="12"/>
        <v>45</v>
      </c>
      <c r="C173" s="217" t="s">
        <v>13</v>
      </c>
      <c r="D173" s="408">
        <v>39.71581140821023</v>
      </c>
      <c r="E173" s="409">
        <v>43.817522375494654</v>
      </c>
      <c r="F173" s="409">
        <v>53.862076527966046</v>
      </c>
      <c r="G173" s="409">
        <v>58.065972770489175</v>
      </c>
      <c r="H173" s="409">
        <v>63.66147197203445</v>
      </c>
      <c r="I173" s="409">
        <v>81.23972086103512</v>
      </c>
      <c r="J173" s="409">
        <v>76.1698145742673</v>
      </c>
      <c r="K173" s="409">
        <v>83.72471370184483</v>
      </c>
      <c r="L173" s="409">
        <v>99.89086468103142</v>
      </c>
      <c r="M173" s="410">
        <v>214.67990033920793</v>
      </c>
      <c r="N173"/>
      <c r="O173" s="229">
        <f t="shared" si="11"/>
        <v>0.03899457663667261</v>
      </c>
    </row>
    <row r="174" spans="1:15" ht="12.75">
      <c r="A174" s="217" t="str">
        <f>IF(ISBLANK(C179),"no",IF(ISNA(VLOOKUP("Grand total",$C$132:$C179,1,FALSE="Grand Total")),"yes","no"))</f>
        <v>no</v>
      </c>
      <c r="B174" s="72">
        <f t="shared" si="12"/>
        <v>46</v>
      </c>
      <c r="C174" s="217" t="s">
        <v>157</v>
      </c>
      <c r="D174" s="408">
        <v>3.2193038891554</v>
      </c>
      <c r="E174" s="409">
        <v>2.9050187913352823</v>
      </c>
      <c r="F174" s="409">
        <v>3.306884039934547</v>
      </c>
      <c r="G174" s="409">
        <v>4.065335683243182</v>
      </c>
      <c r="H174" s="409">
        <v>4.118312788165782</v>
      </c>
      <c r="I174" s="409">
        <v>4.501622824686041</v>
      </c>
      <c r="J174" s="409">
        <v>5.241305336304433</v>
      </c>
      <c r="K174" s="409">
        <v>4.1944755242402865</v>
      </c>
      <c r="L174" s="409">
        <v>5.637198003299394</v>
      </c>
      <c r="M174" s="410">
        <v>24.009822766489133</v>
      </c>
      <c r="N174"/>
      <c r="O174" s="229">
        <f t="shared" si="11"/>
        <v>0.07514312765415387</v>
      </c>
    </row>
    <row r="175" spans="1:15" ht="12.75">
      <c r="A175" s="217" t="str">
        <f>IF(ISBLANK(C180),"no",IF(ISNA(VLOOKUP("Grand total",$C$132:$C180,1,FALSE="Grand Total")),"yes","no"))</f>
        <v>no</v>
      </c>
      <c r="B175" s="72">
        <f t="shared" si="12"/>
        <v>47</v>
      </c>
      <c r="C175" s="217" t="s">
        <v>156</v>
      </c>
      <c r="D175" s="408">
        <v>5.458229165615114</v>
      </c>
      <c r="E175" s="409">
        <v>4.382469334768332</v>
      </c>
      <c r="F175" s="409">
        <v>3.7554826279637146</v>
      </c>
      <c r="G175" s="409">
        <v>3.33092218272497</v>
      </c>
      <c r="H175" s="409">
        <v>4.328912867346371</v>
      </c>
      <c r="I175" s="409">
        <v>4.8850535677896705</v>
      </c>
      <c r="J175" s="409">
        <v>6.282115115939246</v>
      </c>
      <c r="K175" s="409">
        <v>8.769721801212397</v>
      </c>
      <c r="L175" s="409">
        <v>11.425248576153416</v>
      </c>
      <c r="M175" s="410">
        <v>39.68300284173779</v>
      </c>
      <c r="N175"/>
      <c r="O175" s="229">
        <f t="shared" si="11"/>
        <v>0.06423354404079884</v>
      </c>
    </row>
    <row r="176" spans="1:15" ht="12.75">
      <c r="A176" s="217" t="str">
        <f>IF(ISBLANK(C181),"no",IF(ISNA(VLOOKUP("Grand total",$C$132:$C181,1,FALSE="Grand Total")),"yes","no"))</f>
        <v>no</v>
      </c>
      <c r="B176" s="72">
        <f t="shared" si="12"/>
        <v>48</v>
      </c>
      <c r="C176" s="217" t="s">
        <v>155</v>
      </c>
      <c r="D176" s="408">
        <v>11.462960043968822</v>
      </c>
      <c r="E176" s="409">
        <v>13.026353245913658</v>
      </c>
      <c r="F176" s="409">
        <v>12.366494283202497</v>
      </c>
      <c r="G176" s="409">
        <v>16.79350146305171</v>
      </c>
      <c r="H176" s="409">
        <v>20.87494642836356</v>
      </c>
      <c r="I176" s="409">
        <v>23.087497273895156</v>
      </c>
      <c r="J176" s="409">
        <v>24.897960348377797</v>
      </c>
      <c r="K176" s="409">
        <v>32.855548677318716</v>
      </c>
      <c r="L176" s="409">
        <v>35.69794977585335</v>
      </c>
      <c r="M176" s="410">
        <v>122.79352954299333</v>
      </c>
      <c r="N176"/>
      <c r="O176" s="229">
        <f t="shared" si="11"/>
        <v>0.06371825005259346</v>
      </c>
    </row>
    <row r="177" spans="1:15" ht="12.75">
      <c r="A177" s="217" t="str">
        <f>IF(ISBLANK(C182),"no",IF(ISNA(VLOOKUP("Grand total",$C$132:$C182,1,FALSE="Grand Total")),"yes","no"))</f>
        <v>no</v>
      </c>
      <c r="B177" s="72">
        <f t="shared" si="12"/>
        <v>49</v>
      </c>
      <c r="C177" s="217" t="s">
        <v>154</v>
      </c>
      <c r="D177" s="408">
        <v>92.63486711917454</v>
      </c>
      <c r="E177" s="409">
        <v>96.43040151460268</v>
      </c>
      <c r="F177" s="409">
        <v>101.72974153702388</v>
      </c>
      <c r="G177" s="409">
        <v>106.36883107973927</v>
      </c>
      <c r="H177" s="409">
        <v>121.94799202043107</v>
      </c>
      <c r="I177" s="409">
        <v>125.32301788553914</v>
      </c>
      <c r="J177" s="409">
        <v>125.60353185035959</v>
      </c>
      <c r="K177" s="409">
        <v>128.1689843921267</v>
      </c>
      <c r="L177" s="409">
        <v>138.05088262136738</v>
      </c>
      <c r="M177" s="410">
        <v>339.16974268726307</v>
      </c>
      <c r="N177"/>
      <c r="O177" s="229">
        <f t="shared" si="11"/>
        <v>0.045969198538740486</v>
      </c>
    </row>
    <row r="178" spans="1:15" ht="12.75">
      <c r="A178" s="217"/>
      <c r="B178" s="72">
        <f t="shared" si="12"/>
        <v>50</v>
      </c>
      <c r="C178" s="238" t="s">
        <v>191</v>
      </c>
      <c r="D178" s="411">
        <v>7190.945715081354</v>
      </c>
      <c r="E178" s="412">
        <v>7211.9621524504455</v>
      </c>
      <c r="F178" s="412">
        <v>8238.311476184175</v>
      </c>
      <c r="G178" s="412">
        <v>8846.342390389791</v>
      </c>
      <c r="H178" s="412">
        <v>9317.147229324093</v>
      </c>
      <c r="I178" s="412">
        <v>10018.047538525003</v>
      </c>
      <c r="J178" s="412">
        <v>10189.961867394535</v>
      </c>
      <c r="K178" s="412">
        <v>10028.414947642454</v>
      </c>
      <c r="L178" s="412">
        <v>10906.85232779379</v>
      </c>
      <c r="M178" s="413">
        <v>31021.581094994024</v>
      </c>
      <c r="N178"/>
      <c r="O178" s="229">
        <f t="shared" si="11"/>
        <v>0.0536544963433323</v>
      </c>
    </row>
    <row r="179" spans="1:14" ht="12.75">
      <c r="A179" s="217"/>
      <c r="B179" s="72">
        <f t="shared" si="12"/>
        <v>51</v>
      </c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2.75">
      <c r="A180" s="217"/>
      <c r="B180" s="72">
        <f t="shared" si="12"/>
        <v>52</v>
      </c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2.75">
      <c r="A181" s="217"/>
      <c r="B181" s="72">
        <f t="shared" si="12"/>
        <v>53</v>
      </c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2.75">
      <c r="A182" s="217"/>
      <c r="B182" s="72">
        <f t="shared" si="12"/>
        <v>54</v>
      </c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2.75">
      <c r="A183" s="217"/>
      <c r="B183" s="72">
        <f t="shared" si="12"/>
        <v>55</v>
      </c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1.25">
      <c r="A184" s="217"/>
      <c r="B184" s="72">
        <f t="shared" si="12"/>
        <v>56</v>
      </c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229">
        <f>IF(L184&gt;0,(M184/L184)^(1/(endyear-baseyear))-1,0)</f>
        <v>0</v>
      </c>
    </row>
    <row r="185" spans="1:14" ht="11.25">
      <c r="A185" s="230"/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5"/>
    </row>
    <row r="188" spans="1:17" ht="11.25">
      <c r="A188" s="240" t="s">
        <v>572</v>
      </c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2"/>
      <c r="P188" s="217"/>
      <c r="Q188" s="181"/>
    </row>
    <row r="189" spans="1:17" ht="33.75">
      <c r="A189" s="240" t="s">
        <v>366</v>
      </c>
      <c r="B189" s="264" t="s">
        <v>128</v>
      </c>
      <c r="C189" s="265" t="s">
        <v>129</v>
      </c>
      <c r="D189" s="239" t="s">
        <v>358</v>
      </c>
      <c r="E189" s="242" t="s">
        <v>112</v>
      </c>
      <c r="F189" s="242" t="s">
        <v>117</v>
      </c>
      <c r="G189" s="242" t="s">
        <v>84</v>
      </c>
      <c r="H189" s="242" t="s">
        <v>130</v>
      </c>
      <c r="I189" s="242" t="s">
        <v>131</v>
      </c>
      <c r="J189" s="242" t="s">
        <v>92</v>
      </c>
      <c r="K189" s="242" t="s">
        <v>93</v>
      </c>
      <c r="L189" s="242" t="s">
        <v>132</v>
      </c>
      <c r="M189" s="242" t="s">
        <v>133</v>
      </c>
      <c r="N189" s="242" t="s">
        <v>134</v>
      </c>
      <c r="O189" s="243" t="s">
        <v>135</v>
      </c>
      <c r="P189" s="270"/>
      <c r="Q189" s="271"/>
    </row>
    <row r="190" spans="1:17" ht="11.25">
      <c r="A190" s="217" t="str">
        <f aca="true" t="shared" si="13" ref="A190:A203">B190&amp;D190&amp;E190</f>
        <v>Passenger Large20 years2009</v>
      </c>
      <c r="B190" s="249" t="s">
        <v>367</v>
      </c>
      <c r="C190" s="249" t="s">
        <v>367</v>
      </c>
      <c r="D190" s="249" t="s">
        <v>204</v>
      </c>
      <c r="E190" s="73">
        <v>2009</v>
      </c>
      <c r="F190" s="269">
        <v>520</v>
      </c>
      <c r="G190" s="269">
        <v>170</v>
      </c>
      <c r="H190" s="269">
        <v>2</v>
      </c>
      <c r="I190" s="269">
        <v>5</v>
      </c>
      <c r="J190" s="269">
        <v>540</v>
      </c>
      <c r="K190" s="269">
        <v>550</v>
      </c>
      <c r="L190" s="269">
        <v>3</v>
      </c>
      <c r="M190" s="269">
        <v>2</v>
      </c>
      <c r="N190" s="269">
        <v>510</v>
      </c>
      <c r="O190" s="274">
        <v>0</v>
      </c>
      <c r="P190" s="272"/>
      <c r="Q190" s="266"/>
    </row>
    <row r="191" spans="1:17" ht="11.25">
      <c r="A191" s="217" t="str">
        <f t="shared" si="13"/>
        <v>Passenger Medium twin aisle20 years2009</v>
      </c>
      <c r="B191" s="249" t="s">
        <v>368</v>
      </c>
      <c r="C191" s="249" t="s">
        <v>373</v>
      </c>
      <c r="D191" s="249" t="s">
        <v>204</v>
      </c>
      <c r="E191" s="73">
        <v>2009</v>
      </c>
      <c r="F191" s="269">
        <v>3120</v>
      </c>
      <c r="G191" s="269">
        <v>800</v>
      </c>
      <c r="H191" s="269">
        <v>11</v>
      </c>
      <c r="I191" s="269">
        <v>25</v>
      </c>
      <c r="J191" s="269">
        <v>1370</v>
      </c>
      <c r="K191" s="269">
        <v>3270</v>
      </c>
      <c r="L191" s="269">
        <v>7</v>
      </c>
      <c r="M191" s="269">
        <v>9</v>
      </c>
      <c r="N191" s="269">
        <v>1220</v>
      </c>
      <c r="O191" s="274">
        <v>0</v>
      </c>
      <c r="P191" s="272"/>
      <c r="Q191" s="266"/>
    </row>
    <row r="192" spans="1:17" ht="11.25">
      <c r="A192" s="217" t="str">
        <f t="shared" si="13"/>
        <v>Passenger Small twin aisle20 years2009</v>
      </c>
      <c r="B192" s="249" t="s">
        <v>369</v>
      </c>
      <c r="C192" s="249" t="s">
        <v>373</v>
      </c>
      <c r="D192" s="249" t="s">
        <v>204</v>
      </c>
      <c r="E192" s="73">
        <v>2009</v>
      </c>
      <c r="F192" s="269">
        <v>3100</v>
      </c>
      <c r="G192" s="269">
        <v>590</v>
      </c>
      <c r="H192" s="269">
        <v>11</v>
      </c>
      <c r="I192" s="269">
        <v>18</v>
      </c>
      <c r="J192" s="269">
        <v>1280</v>
      </c>
      <c r="K192" s="269">
        <v>3340</v>
      </c>
      <c r="L192" s="269">
        <v>7</v>
      </c>
      <c r="M192" s="269">
        <v>9</v>
      </c>
      <c r="N192" s="269">
        <v>1040</v>
      </c>
      <c r="O192" s="274">
        <v>0</v>
      </c>
      <c r="P192" s="272"/>
      <c r="Q192" s="266"/>
    </row>
    <row r="193" spans="1:17" ht="11.25">
      <c r="A193" s="217" t="str">
        <f t="shared" si="13"/>
        <v>Passenger More than 175 seats single aisle20 years2009</v>
      </c>
      <c r="B193" s="249" t="s">
        <v>370</v>
      </c>
      <c r="C193" s="249" t="s">
        <v>374</v>
      </c>
      <c r="D193" s="249" t="s">
        <v>204</v>
      </c>
      <c r="E193" s="73">
        <v>2009</v>
      </c>
      <c r="F193" s="269">
        <v>3040</v>
      </c>
      <c r="G193" s="269">
        <v>290</v>
      </c>
      <c r="H193" s="269">
        <v>10</v>
      </c>
      <c r="I193" s="269">
        <v>9</v>
      </c>
      <c r="J193" s="269">
        <v>1370</v>
      </c>
      <c r="K193" s="269">
        <v>3350</v>
      </c>
      <c r="L193" s="269">
        <v>7</v>
      </c>
      <c r="M193" s="269">
        <v>9</v>
      </c>
      <c r="N193" s="269">
        <v>1060</v>
      </c>
      <c r="O193" s="274">
        <v>0</v>
      </c>
      <c r="P193" s="272"/>
      <c r="Q193" s="266"/>
    </row>
    <row r="194" spans="1:17" ht="11.25">
      <c r="A194" s="217" t="str">
        <f t="shared" si="13"/>
        <v>Passenger 90 to 175 seats single aisle20 years2009</v>
      </c>
      <c r="B194" s="249" t="s">
        <v>371</v>
      </c>
      <c r="C194" s="249" t="s">
        <v>374</v>
      </c>
      <c r="D194" s="249" t="s">
        <v>204</v>
      </c>
      <c r="E194" s="73">
        <v>2009</v>
      </c>
      <c r="F194" s="269">
        <v>16410</v>
      </c>
      <c r="G194" s="269">
        <v>1130</v>
      </c>
      <c r="H194" s="269">
        <v>57</v>
      </c>
      <c r="I194" s="269">
        <v>35</v>
      </c>
      <c r="J194" s="269">
        <v>9320</v>
      </c>
      <c r="K194" s="269">
        <v>19620</v>
      </c>
      <c r="L194" s="269">
        <v>50</v>
      </c>
      <c r="M194" s="269">
        <v>55</v>
      </c>
      <c r="N194" s="269">
        <v>6110</v>
      </c>
      <c r="O194" s="274">
        <v>0</v>
      </c>
      <c r="P194" s="272"/>
      <c r="Q194" s="266"/>
    </row>
    <row r="195" spans="1:17" ht="11.25">
      <c r="A195" s="217" t="str">
        <f t="shared" si="13"/>
        <v>Passenger Regional jets20 years2009</v>
      </c>
      <c r="B195" s="249" t="s">
        <v>372</v>
      </c>
      <c r="C195" s="249" t="s">
        <v>372</v>
      </c>
      <c r="D195" s="249" t="s">
        <v>204</v>
      </c>
      <c r="E195" s="73">
        <v>2009</v>
      </c>
      <c r="F195" s="269">
        <v>2100</v>
      </c>
      <c r="G195" s="269">
        <v>70</v>
      </c>
      <c r="H195" s="269">
        <v>7</v>
      </c>
      <c r="I195" s="269">
        <v>2</v>
      </c>
      <c r="J195" s="269">
        <v>2980</v>
      </c>
      <c r="K195" s="269">
        <v>2220</v>
      </c>
      <c r="L195" s="269">
        <v>16</v>
      </c>
      <c r="M195" s="269">
        <v>6</v>
      </c>
      <c r="N195" s="269">
        <v>2860</v>
      </c>
      <c r="O195" s="274">
        <v>0</v>
      </c>
      <c r="P195" s="272"/>
      <c r="Q195" s="266"/>
    </row>
    <row r="196" spans="1:17" ht="11.25">
      <c r="A196" s="217" t="str">
        <f t="shared" si="13"/>
        <v>Freight large20 years2009</v>
      </c>
      <c r="B196" s="249" t="s">
        <v>140</v>
      </c>
      <c r="C196" s="249" t="s">
        <v>142</v>
      </c>
      <c r="D196" s="249" t="s">
        <v>204</v>
      </c>
      <c r="E196" s="73">
        <v>2009</v>
      </c>
      <c r="F196" s="269">
        <v>490</v>
      </c>
      <c r="G196" s="269">
        <v>130</v>
      </c>
      <c r="H196" s="269">
        <v>2</v>
      </c>
      <c r="I196" s="269">
        <v>4</v>
      </c>
      <c r="J196" s="269">
        <v>500</v>
      </c>
      <c r="K196" s="269">
        <v>1070</v>
      </c>
      <c r="L196" s="269">
        <v>3</v>
      </c>
      <c r="M196" s="269">
        <v>3</v>
      </c>
      <c r="N196" s="269">
        <v>260</v>
      </c>
      <c r="O196" s="274">
        <v>340</v>
      </c>
      <c r="P196" s="272"/>
      <c r="Q196" s="266"/>
    </row>
    <row r="197" spans="1:17" ht="11.25">
      <c r="A197" s="217" t="str">
        <f t="shared" si="13"/>
        <v>Freight medium widebody20 years2009</v>
      </c>
      <c r="B197" s="249" t="s">
        <v>141</v>
      </c>
      <c r="C197" s="249" t="s">
        <v>143</v>
      </c>
      <c r="D197" s="249" t="s">
        <v>204</v>
      </c>
      <c r="E197" s="73">
        <v>2009</v>
      </c>
      <c r="F197" s="269">
        <v>210</v>
      </c>
      <c r="G197" s="269">
        <v>40</v>
      </c>
      <c r="H197" s="269">
        <v>1</v>
      </c>
      <c r="I197" s="269">
        <v>1</v>
      </c>
      <c r="J197" s="269">
        <v>680</v>
      </c>
      <c r="K197" s="269">
        <v>920</v>
      </c>
      <c r="L197" s="269">
        <v>4</v>
      </c>
      <c r="M197" s="269">
        <v>3</v>
      </c>
      <c r="N197" s="269">
        <v>510</v>
      </c>
      <c r="O197" s="274">
        <v>540</v>
      </c>
      <c r="P197" s="272"/>
      <c r="Q197" s="266"/>
    </row>
    <row r="198" spans="1:17" ht="11.25">
      <c r="A198" s="217" t="str">
        <f t="shared" si="13"/>
        <v>Freight standard20 years2009</v>
      </c>
      <c r="B198" s="249" t="s">
        <v>146</v>
      </c>
      <c r="C198" s="249" t="s">
        <v>144</v>
      </c>
      <c r="D198" s="249" t="s">
        <v>204</v>
      </c>
      <c r="E198" s="73">
        <v>2009</v>
      </c>
      <c r="F198" s="269">
        <v>10</v>
      </c>
      <c r="G198" s="269">
        <v>1</v>
      </c>
      <c r="H198" s="269">
        <v>0</v>
      </c>
      <c r="I198" s="269">
        <v>0</v>
      </c>
      <c r="J198" s="269">
        <v>760</v>
      </c>
      <c r="K198" s="269">
        <v>1260</v>
      </c>
      <c r="L198" s="269">
        <v>4</v>
      </c>
      <c r="M198" s="269">
        <v>4</v>
      </c>
      <c r="N198" s="269">
        <v>680</v>
      </c>
      <c r="O198" s="274">
        <v>1170</v>
      </c>
      <c r="P198" s="272"/>
      <c r="Q198" s="266"/>
    </row>
    <row r="199" spans="1:17" ht="11.25">
      <c r="A199" s="217" t="str">
        <f t="shared" si="13"/>
        <v>Passenger Twin aisle Total20 years2009</v>
      </c>
      <c r="B199" s="249" t="s">
        <v>585</v>
      </c>
      <c r="C199" s="249" t="s">
        <v>373</v>
      </c>
      <c r="D199" s="249" t="s">
        <v>204</v>
      </c>
      <c r="E199" s="73">
        <v>2009</v>
      </c>
      <c r="F199" s="269">
        <v>6740</v>
      </c>
      <c r="G199" s="269">
        <v>1560</v>
      </c>
      <c r="H199" s="269">
        <v>23</v>
      </c>
      <c r="I199" s="269">
        <v>48</v>
      </c>
      <c r="J199" s="269">
        <v>3190</v>
      </c>
      <c r="K199" s="269">
        <v>7160</v>
      </c>
      <c r="L199" s="269">
        <v>17</v>
      </c>
      <c r="M199" s="269">
        <v>20</v>
      </c>
      <c r="N199" s="269">
        <v>2770</v>
      </c>
      <c r="O199" s="274">
        <v>880</v>
      </c>
      <c r="P199" s="272"/>
      <c r="Q199" s="266"/>
    </row>
    <row r="200" spans="1:17" ht="11.25">
      <c r="A200" s="217" t="str">
        <f t="shared" si="13"/>
        <v>Passenger Single aisle Total20 years2009</v>
      </c>
      <c r="B200" s="249" t="s">
        <v>586</v>
      </c>
      <c r="C200" s="249" t="s">
        <v>374</v>
      </c>
      <c r="D200" s="249" t="s">
        <v>204</v>
      </c>
      <c r="E200" s="73">
        <v>2009</v>
      </c>
      <c r="F200" s="269">
        <v>19450</v>
      </c>
      <c r="G200" s="269">
        <v>1420</v>
      </c>
      <c r="H200" s="269">
        <v>67</v>
      </c>
      <c r="I200" s="269">
        <v>44</v>
      </c>
      <c r="J200" s="269">
        <v>10690</v>
      </c>
      <c r="K200" s="269">
        <v>22970</v>
      </c>
      <c r="L200" s="269">
        <v>57</v>
      </c>
      <c r="M200" s="269">
        <v>65</v>
      </c>
      <c r="N200" s="269">
        <v>7170</v>
      </c>
      <c r="O200" s="274">
        <v>1170</v>
      </c>
      <c r="P200" s="272"/>
      <c r="Q200" s="266"/>
    </row>
    <row r="201" spans="1:17" ht="11.25">
      <c r="A201" s="217" t="str">
        <f t="shared" si="13"/>
        <v>Passenger Total20 years2009</v>
      </c>
      <c r="B201" s="217" t="s">
        <v>577</v>
      </c>
      <c r="C201" s="217" t="s">
        <v>577</v>
      </c>
      <c r="D201" s="249" t="s">
        <v>204</v>
      </c>
      <c r="E201" s="73">
        <v>2009</v>
      </c>
      <c r="F201" s="269">
        <f>SUM(F199:F200,F195)</f>
        <v>28290</v>
      </c>
      <c r="G201" s="269">
        <f aca="true" t="shared" si="14" ref="G201:O201">SUM(G199:G200,G195)</f>
        <v>3050</v>
      </c>
      <c r="H201" s="269">
        <f t="shared" si="14"/>
        <v>97</v>
      </c>
      <c r="I201" s="269">
        <v>95</v>
      </c>
      <c r="J201" s="269">
        <f t="shared" si="14"/>
        <v>16860</v>
      </c>
      <c r="K201" s="269">
        <f t="shared" si="14"/>
        <v>32350</v>
      </c>
      <c r="L201" s="269">
        <v>89</v>
      </c>
      <c r="M201" s="269">
        <v>90</v>
      </c>
      <c r="N201" s="269">
        <f t="shared" si="14"/>
        <v>12800</v>
      </c>
      <c r="O201" s="274">
        <f t="shared" si="14"/>
        <v>2050</v>
      </c>
      <c r="P201" s="272"/>
      <c r="Q201" s="266"/>
    </row>
    <row r="202" spans="1:17" ht="11.25">
      <c r="A202" s="217" t="str">
        <f t="shared" si="13"/>
        <v>Freighter Total20 years2009</v>
      </c>
      <c r="B202" s="217" t="s">
        <v>578</v>
      </c>
      <c r="C202" s="217" t="s">
        <v>578</v>
      </c>
      <c r="D202" s="249" t="s">
        <v>204</v>
      </c>
      <c r="E202" s="73">
        <v>2009</v>
      </c>
      <c r="F202" s="269">
        <f>SUM(F196:F198)</f>
        <v>710</v>
      </c>
      <c r="G202" s="269">
        <f aca="true" t="shared" si="15" ref="G202:O202">SUM(G196:G198)</f>
        <v>171</v>
      </c>
      <c r="H202" s="269">
        <f t="shared" si="15"/>
        <v>3</v>
      </c>
      <c r="I202" s="269">
        <f t="shared" si="15"/>
        <v>5</v>
      </c>
      <c r="J202" s="269">
        <f t="shared" si="15"/>
        <v>1940</v>
      </c>
      <c r="K202" s="269">
        <f t="shared" si="15"/>
        <v>3250</v>
      </c>
      <c r="L202" s="269">
        <f t="shared" si="15"/>
        <v>11</v>
      </c>
      <c r="M202" s="269">
        <f t="shared" si="15"/>
        <v>10</v>
      </c>
      <c r="N202" s="269">
        <f t="shared" si="15"/>
        <v>1450</v>
      </c>
      <c r="O202" s="274">
        <f t="shared" si="15"/>
        <v>2050</v>
      </c>
      <c r="P202" s="272"/>
      <c r="Q202" s="266"/>
    </row>
    <row r="203" spans="1:17" ht="11.25">
      <c r="A203" s="230" t="str">
        <f t="shared" si="13"/>
        <v>Total20 years2009</v>
      </c>
      <c r="B203" s="267" t="s">
        <v>223</v>
      </c>
      <c r="C203" s="267" t="s">
        <v>223</v>
      </c>
      <c r="D203" s="249" t="s">
        <v>204</v>
      </c>
      <c r="E203" s="275">
        <v>2009</v>
      </c>
      <c r="F203" s="276">
        <v>29000</v>
      </c>
      <c r="G203" s="276">
        <v>3220</v>
      </c>
      <c r="H203" s="276">
        <v>100</v>
      </c>
      <c r="I203" s="276">
        <v>100</v>
      </c>
      <c r="J203" s="276">
        <v>18800</v>
      </c>
      <c r="K203" s="276">
        <v>35600</v>
      </c>
      <c r="L203" s="276">
        <v>100</v>
      </c>
      <c r="M203" s="276">
        <v>100</v>
      </c>
      <c r="N203" s="276">
        <v>14250</v>
      </c>
      <c r="O203" s="277">
        <v>2050</v>
      </c>
      <c r="P203" s="272"/>
      <c r="Q203" s="266"/>
    </row>
    <row r="204" spans="1:17" ht="11.25">
      <c r="A204" s="217" t="str">
        <f aca="true" t="shared" si="16" ref="A204:A217">B204&amp;D204&amp;E204</f>
        <v>Passenger Large20 years2010</v>
      </c>
      <c r="B204" s="249" t="s">
        <v>367</v>
      </c>
      <c r="C204" s="249" t="s">
        <v>367</v>
      </c>
      <c r="D204" s="249" t="s">
        <v>204</v>
      </c>
      <c r="E204" s="205">
        <v>2010</v>
      </c>
      <c r="F204" s="336">
        <v>530</v>
      </c>
      <c r="G204" s="251">
        <v>160</v>
      </c>
      <c r="H204" s="337">
        <v>2</v>
      </c>
      <c r="I204" s="337">
        <v>4</v>
      </c>
      <c r="J204" s="251">
        <v>500</v>
      </c>
      <c r="K204" s="251">
        <v>510</v>
      </c>
      <c r="L204" s="337">
        <v>3</v>
      </c>
      <c r="M204" s="337">
        <v>1</v>
      </c>
      <c r="N204" s="251">
        <v>520</v>
      </c>
      <c r="O204" s="379"/>
      <c r="P204" s="272"/>
      <c r="Q204" s="266"/>
    </row>
    <row r="205" spans="1:17" ht="11.25">
      <c r="A205" s="217" t="str">
        <f t="shared" si="16"/>
        <v>Passenger Medium twin aisle20 years2010</v>
      </c>
      <c r="B205" s="249" t="s">
        <v>368</v>
      </c>
      <c r="C205" s="249" t="s">
        <v>373</v>
      </c>
      <c r="D205" s="249" t="s">
        <v>204</v>
      </c>
      <c r="E205" s="205">
        <v>2010</v>
      </c>
      <c r="F205" s="336">
        <v>3090</v>
      </c>
      <c r="G205" s="251">
        <v>830</v>
      </c>
      <c r="H205" s="337">
        <v>10</v>
      </c>
      <c r="I205" s="337">
        <v>23</v>
      </c>
      <c r="J205" s="251">
        <v>1450</v>
      </c>
      <c r="K205" s="251">
        <v>3260</v>
      </c>
      <c r="L205" s="337">
        <v>8</v>
      </c>
      <c r="M205" s="337">
        <v>9</v>
      </c>
      <c r="N205" s="251">
        <v>1280</v>
      </c>
      <c r="O205" s="380"/>
      <c r="P205" s="272"/>
      <c r="Q205" s="266"/>
    </row>
    <row r="206" spans="1:17" ht="11.25">
      <c r="A206" s="217" t="str">
        <f t="shared" si="16"/>
        <v>Passenger Small twin aisle20 years2010</v>
      </c>
      <c r="B206" s="249" t="s">
        <v>369</v>
      </c>
      <c r="C206" s="249" t="s">
        <v>373</v>
      </c>
      <c r="D206" s="249" t="s">
        <v>204</v>
      </c>
      <c r="E206" s="205">
        <v>2010</v>
      </c>
      <c r="F206" s="336">
        <v>3470</v>
      </c>
      <c r="G206" s="251">
        <v>680</v>
      </c>
      <c r="H206" s="337">
        <v>11</v>
      </c>
      <c r="I206" s="337">
        <v>19</v>
      </c>
      <c r="J206" s="251">
        <v>1240</v>
      </c>
      <c r="K206" s="251">
        <v>3660</v>
      </c>
      <c r="L206" s="337">
        <v>7</v>
      </c>
      <c r="M206" s="337">
        <v>10</v>
      </c>
      <c r="N206" s="251">
        <v>1050</v>
      </c>
      <c r="O206" s="380"/>
      <c r="P206" s="272"/>
      <c r="Q206" s="266"/>
    </row>
    <row r="207" spans="1:17" ht="11.25">
      <c r="A207" s="217" t="str">
        <f t="shared" si="16"/>
        <v>Passenger More than 175 seats single aisle20 years2010</v>
      </c>
      <c r="B207" s="249" t="s">
        <v>370</v>
      </c>
      <c r="C207" s="249" t="s">
        <v>374</v>
      </c>
      <c r="D207" s="249" t="s">
        <v>204</v>
      </c>
      <c r="E207" s="205">
        <v>2010</v>
      </c>
      <c r="F207" s="336">
        <v>3060</v>
      </c>
      <c r="G207" s="251">
        <v>300</v>
      </c>
      <c r="H207" s="337">
        <v>10</v>
      </c>
      <c r="I207" s="337">
        <v>8</v>
      </c>
      <c r="J207" s="251">
        <v>1450</v>
      </c>
      <c r="K207" s="251">
        <v>3420</v>
      </c>
      <c r="L207" s="337">
        <v>8</v>
      </c>
      <c r="M207" s="337">
        <v>10</v>
      </c>
      <c r="N207" s="251">
        <v>1090</v>
      </c>
      <c r="O207" s="380"/>
      <c r="P207" s="272"/>
      <c r="Q207" s="266"/>
    </row>
    <row r="208" spans="1:17" ht="11.25">
      <c r="A208" s="217" t="str">
        <f t="shared" si="16"/>
        <v>Passenger 90 to 175 seats single aisle20 years2010</v>
      </c>
      <c r="B208" s="249" t="s">
        <v>371</v>
      </c>
      <c r="C208" s="249" t="s">
        <v>374</v>
      </c>
      <c r="D208" s="249" t="s">
        <v>204</v>
      </c>
      <c r="E208" s="205">
        <v>2010</v>
      </c>
      <c r="F208" s="336">
        <v>18090</v>
      </c>
      <c r="G208" s="251">
        <v>1380</v>
      </c>
      <c r="H208" s="337">
        <v>59</v>
      </c>
      <c r="I208" s="337">
        <v>39</v>
      </c>
      <c r="J208" s="251">
        <v>9560</v>
      </c>
      <c r="K208" s="251">
        <v>20410</v>
      </c>
      <c r="L208" s="337">
        <v>50</v>
      </c>
      <c r="M208" s="337">
        <v>56</v>
      </c>
      <c r="N208" s="251">
        <v>7240</v>
      </c>
      <c r="O208" s="380"/>
      <c r="P208" s="272"/>
      <c r="Q208" s="266"/>
    </row>
    <row r="209" spans="1:17" ht="11.25">
      <c r="A209" s="217" t="str">
        <f t="shared" si="16"/>
        <v>Passenger Regional jets20 years2010</v>
      </c>
      <c r="B209" s="249" t="s">
        <v>372</v>
      </c>
      <c r="C209" s="249" t="s">
        <v>372</v>
      </c>
      <c r="D209" s="249" t="s">
        <v>204</v>
      </c>
      <c r="E209" s="205">
        <v>2010</v>
      </c>
      <c r="F209" s="336">
        <v>1920</v>
      </c>
      <c r="G209" s="251">
        <v>60</v>
      </c>
      <c r="H209" s="337">
        <v>6</v>
      </c>
      <c r="I209" s="337">
        <v>2</v>
      </c>
      <c r="J209" s="251">
        <v>2940</v>
      </c>
      <c r="K209" s="251">
        <v>2060</v>
      </c>
      <c r="L209" s="337">
        <v>16</v>
      </c>
      <c r="M209" s="337">
        <v>6</v>
      </c>
      <c r="N209" s="251">
        <v>2800</v>
      </c>
      <c r="O209" s="380"/>
      <c r="P209" s="272"/>
      <c r="Q209" s="266"/>
    </row>
    <row r="210" spans="1:17" ht="11.25">
      <c r="A210" s="217" t="str">
        <f t="shared" si="16"/>
        <v>Freight large20 years2010</v>
      </c>
      <c r="B210" s="249" t="s">
        <v>140</v>
      </c>
      <c r="C210" s="249" t="s">
        <v>142</v>
      </c>
      <c r="D210" s="249" t="s">
        <v>204</v>
      </c>
      <c r="E210" s="205">
        <v>2010</v>
      </c>
      <c r="F210" s="336">
        <v>520</v>
      </c>
      <c r="G210" s="249">
        <v>140</v>
      </c>
      <c r="H210" s="337">
        <v>2</v>
      </c>
      <c r="I210" s="337">
        <v>4</v>
      </c>
      <c r="J210" s="251">
        <v>470</v>
      </c>
      <c r="K210" s="251">
        <v>980</v>
      </c>
      <c r="L210" s="337">
        <v>2</v>
      </c>
      <c r="M210" s="337">
        <v>3</v>
      </c>
      <c r="N210" s="251">
        <v>260</v>
      </c>
      <c r="O210" s="379">
        <v>250</v>
      </c>
      <c r="P210" s="272"/>
      <c r="Q210" s="266"/>
    </row>
    <row r="211" spans="1:17" ht="11.25">
      <c r="A211" s="217" t="str">
        <f t="shared" si="16"/>
        <v>Freight medium widebody20 years2010</v>
      </c>
      <c r="B211" s="249" t="s">
        <v>141</v>
      </c>
      <c r="C211" s="249" t="s">
        <v>143</v>
      </c>
      <c r="D211" s="249" t="s">
        <v>204</v>
      </c>
      <c r="E211" s="205">
        <v>2010</v>
      </c>
      <c r="F211" s="336">
        <v>210</v>
      </c>
      <c r="G211" s="249">
        <v>40</v>
      </c>
      <c r="H211" s="337" t="s">
        <v>669</v>
      </c>
      <c r="I211" s="337">
        <v>1</v>
      </c>
      <c r="J211" s="251">
        <v>640</v>
      </c>
      <c r="K211" s="251">
        <v>810</v>
      </c>
      <c r="L211" s="337">
        <v>3</v>
      </c>
      <c r="M211" s="337">
        <v>2</v>
      </c>
      <c r="N211" s="251">
        <v>470</v>
      </c>
      <c r="O211" s="379">
        <v>430</v>
      </c>
      <c r="P211" s="272"/>
      <c r="Q211" s="266"/>
    </row>
    <row r="212" spans="1:17" ht="11.25">
      <c r="A212" s="217" t="str">
        <f t="shared" si="16"/>
        <v>Freight standard20 years2010</v>
      </c>
      <c r="B212" s="249" t="s">
        <v>146</v>
      </c>
      <c r="C212" s="249" t="s">
        <v>144</v>
      </c>
      <c r="D212" s="249" t="s">
        <v>204</v>
      </c>
      <c r="E212" s="205">
        <v>2010</v>
      </c>
      <c r="F212" s="336">
        <v>10</v>
      </c>
      <c r="G212" s="339">
        <v>0.5367837544837878</v>
      </c>
      <c r="H212" s="337" t="s">
        <v>669</v>
      </c>
      <c r="I212" s="337">
        <v>1</v>
      </c>
      <c r="J212" s="251">
        <v>640</v>
      </c>
      <c r="K212" s="251">
        <v>1190</v>
      </c>
      <c r="L212" s="337">
        <v>3</v>
      </c>
      <c r="M212" s="337">
        <v>3</v>
      </c>
      <c r="N212" s="251">
        <v>530</v>
      </c>
      <c r="O212" s="379">
        <v>1070</v>
      </c>
      <c r="P212" s="272"/>
      <c r="Q212" s="266"/>
    </row>
    <row r="213" spans="1:17" ht="11.25">
      <c r="A213" s="217" t="str">
        <f t="shared" si="16"/>
        <v>Passenger Twin aisle20 years2010</v>
      </c>
      <c r="B213" s="249" t="s">
        <v>373</v>
      </c>
      <c r="C213" s="249" t="s">
        <v>373</v>
      </c>
      <c r="D213" s="249" t="s">
        <v>204</v>
      </c>
      <c r="E213" s="205">
        <v>2010</v>
      </c>
      <c r="F213" s="336">
        <v>7090</v>
      </c>
      <c r="G213" s="336">
        <v>1670</v>
      </c>
      <c r="H213" s="337">
        <v>23</v>
      </c>
      <c r="I213" s="337">
        <v>46</v>
      </c>
      <c r="J213" s="336">
        <v>3190</v>
      </c>
      <c r="K213" s="336">
        <v>7430</v>
      </c>
      <c r="L213" s="337">
        <v>18</v>
      </c>
      <c r="M213" s="337">
        <v>20</v>
      </c>
      <c r="N213" s="336">
        <f>N204+N205+N206</f>
        <v>2850</v>
      </c>
      <c r="O213" s="381">
        <v>1070</v>
      </c>
      <c r="P213" s="272"/>
      <c r="Q213" s="266"/>
    </row>
    <row r="214" spans="1:17" ht="11.25">
      <c r="A214" s="217" t="str">
        <f t="shared" si="16"/>
        <v>Passenger Single aisle20 years2010</v>
      </c>
      <c r="B214" s="249" t="s">
        <v>374</v>
      </c>
      <c r="C214" s="249" t="s">
        <v>374</v>
      </c>
      <c r="D214" s="249" t="s">
        <v>204</v>
      </c>
      <c r="E214" s="205">
        <v>2010</v>
      </c>
      <c r="F214" s="336">
        <v>21150</v>
      </c>
      <c r="G214" s="336">
        <v>1680</v>
      </c>
      <c r="H214" s="337">
        <v>69</v>
      </c>
      <c r="I214" s="337">
        <v>47</v>
      </c>
      <c r="J214" s="336">
        <v>11010</v>
      </c>
      <c r="K214" s="336">
        <v>23830</v>
      </c>
      <c r="L214" s="337">
        <v>58</v>
      </c>
      <c r="M214" s="337">
        <v>66</v>
      </c>
      <c r="N214" s="336">
        <v>8330</v>
      </c>
      <c r="O214" s="381">
        <v>680</v>
      </c>
      <c r="P214" s="272"/>
      <c r="Q214" s="266"/>
    </row>
    <row r="215" spans="1:17" ht="11.25">
      <c r="A215" s="217" t="str">
        <f t="shared" si="16"/>
        <v>Passenger Total20 years2010</v>
      </c>
      <c r="B215" s="249" t="s">
        <v>577</v>
      </c>
      <c r="C215" s="249" t="s">
        <v>577</v>
      </c>
      <c r="D215" s="249" t="s">
        <v>204</v>
      </c>
      <c r="E215" s="205">
        <v>2010</v>
      </c>
      <c r="F215" s="336">
        <v>30160</v>
      </c>
      <c r="G215" s="336">
        <v>3410</v>
      </c>
      <c r="H215" s="337">
        <v>98</v>
      </c>
      <c r="I215" s="337">
        <v>95</v>
      </c>
      <c r="J215" s="336">
        <v>17140</v>
      </c>
      <c r="K215" s="336">
        <v>33320</v>
      </c>
      <c r="L215" s="337">
        <v>92</v>
      </c>
      <c r="M215" s="337">
        <v>92</v>
      </c>
      <c r="N215" s="336">
        <v>13980</v>
      </c>
      <c r="O215" s="381">
        <v>1750</v>
      </c>
      <c r="P215" s="272"/>
      <c r="Q215" s="266"/>
    </row>
    <row r="216" spans="1:17" ht="11.25">
      <c r="A216" s="217" t="str">
        <f t="shared" si="16"/>
        <v>Freighter Total20 years2010</v>
      </c>
      <c r="B216" s="249" t="s">
        <v>578</v>
      </c>
      <c r="C216" s="249" t="s">
        <v>578</v>
      </c>
      <c r="D216" s="249" t="s">
        <v>204</v>
      </c>
      <c r="E216" s="205">
        <v>2010</v>
      </c>
      <c r="F216" s="336">
        <v>740</v>
      </c>
      <c r="G216" s="336">
        <v>180</v>
      </c>
      <c r="H216" s="337">
        <v>2</v>
      </c>
      <c r="I216" s="337">
        <v>5</v>
      </c>
      <c r="J216" s="336">
        <v>1750</v>
      </c>
      <c r="K216" s="336">
        <v>2980</v>
      </c>
      <c r="L216" s="337">
        <v>8</v>
      </c>
      <c r="M216" s="337">
        <v>8</v>
      </c>
      <c r="N216" s="336">
        <v>1260</v>
      </c>
      <c r="O216" s="381">
        <v>1750</v>
      </c>
      <c r="P216" s="272"/>
      <c r="Q216" s="266"/>
    </row>
    <row r="217" spans="1:17" ht="11.25">
      <c r="A217" s="230" t="str">
        <f t="shared" si="16"/>
        <v>Total20 years2010</v>
      </c>
      <c r="B217" s="249" t="s">
        <v>223</v>
      </c>
      <c r="C217" s="249" t="s">
        <v>223</v>
      </c>
      <c r="D217" s="249" t="s">
        <v>204</v>
      </c>
      <c r="E217" s="205">
        <v>2010</v>
      </c>
      <c r="F217" s="336">
        <v>30900</v>
      </c>
      <c r="G217" s="336">
        <v>3590</v>
      </c>
      <c r="H217" s="337">
        <v>100</v>
      </c>
      <c r="I217" s="337">
        <v>100</v>
      </c>
      <c r="J217" s="336">
        <v>18890</v>
      </c>
      <c r="K217" s="336">
        <v>36300</v>
      </c>
      <c r="L217" s="337">
        <v>100</v>
      </c>
      <c r="M217" s="337">
        <v>100</v>
      </c>
      <c r="N217" s="336">
        <v>15240</v>
      </c>
      <c r="O217" s="381">
        <v>1750</v>
      </c>
      <c r="P217" s="272"/>
      <c r="Q217" s="266"/>
    </row>
    <row r="218" spans="1:17" ht="12.75">
      <c r="A218" t="s">
        <v>34</v>
      </c>
      <c r="B218" t="s">
        <v>140</v>
      </c>
      <c r="C218" t="s">
        <v>142</v>
      </c>
      <c r="D218" t="s">
        <v>204</v>
      </c>
      <c r="E218">
        <v>2011</v>
      </c>
      <c r="F218">
        <v>690</v>
      </c>
      <c r="G218" s="384">
        <v>200</v>
      </c>
      <c r="H218" s="384">
        <v>2.0597014925373136</v>
      </c>
      <c r="I218" s="384">
        <v>4.926108374384237</v>
      </c>
      <c r="J218">
        <v>520</v>
      </c>
      <c r="K218">
        <v>1240</v>
      </c>
      <c r="L218" s="384">
        <v>2.6790314270994333</v>
      </c>
      <c r="M218" s="384">
        <v>3.136858082469011</v>
      </c>
      <c r="N218">
        <v>280</v>
      </c>
      <c r="O218">
        <v>310</v>
      </c>
      <c r="P218" s="272"/>
      <c r="Q218" s="266"/>
    </row>
    <row r="219" spans="1:17" ht="12.75">
      <c r="A219" t="s">
        <v>35</v>
      </c>
      <c r="B219" t="s">
        <v>141</v>
      </c>
      <c r="C219" t="s">
        <v>143</v>
      </c>
      <c r="D219" t="s">
        <v>204</v>
      </c>
      <c r="E219">
        <v>2011</v>
      </c>
      <c r="F219">
        <v>280</v>
      </c>
      <c r="G219" s="384">
        <v>50</v>
      </c>
      <c r="H219" s="384">
        <v>0.835820895522388</v>
      </c>
      <c r="I219" s="384">
        <v>1.2315270935960592</v>
      </c>
      <c r="J219">
        <v>610</v>
      </c>
      <c r="K219">
        <v>910</v>
      </c>
      <c r="L219" s="384">
        <v>3.1427099433281813</v>
      </c>
      <c r="M219" s="384">
        <v>2.302049076650645</v>
      </c>
      <c r="N219">
        <v>420</v>
      </c>
      <c r="O219">
        <v>440</v>
      </c>
      <c r="P219" s="272"/>
      <c r="Q219" s="266"/>
    </row>
    <row r="220" spans="1:17" ht="12.75">
      <c r="A220" t="s">
        <v>4</v>
      </c>
      <c r="B220" t="s">
        <v>581</v>
      </c>
      <c r="C220" t="s">
        <v>144</v>
      </c>
      <c r="D220" t="s">
        <v>204</v>
      </c>
      <c r="E220">
        <v>2011</v>
      </c>
      <c r="F220">
        <v>0</v>
      </c>
      <c r="G220" s="384">
        <v>0</v>
      </c>
      <c r="H220" s="384">
        <v>0</v>
      </c>
      <c r="I220" s="384">
        <v>0</v>
      </c>
      <c r="J220">
        <v>630</v>
      </c>
      <c r="K220">
        <v>1350</v>
      </c>
      <c r="L220" s="384">
        <v>3.2457496136012365</v>
      </c>
      <c r="M220" s="384">
        <v>3.4151277510751332</v>
      </c>
      <c r="N220">
        <v>520</v>
      </c>
      <c r="O220">
        <v>1240</v>
      </c>
      <c r="P220" s="272"/>
      <c r="Q220" s="266"/>
    </row>
    <row r="221" spans="1:17" ht="12.75">
      <c r="A221" t="s">
        <v>5</v>
      </c>
      <c r="B221" t="s">
        <v>682</v>
      </c>
      <c r="C221" t="s">
        <v>677</v>
      </c>
      <c r="D221" t="s">
        <v>204</v>
      </c>
      <c r="E221">
        <v>2011</v>
      </c>
      <c r="F221">
        <v>3020</v>
      </c>
      <c r="G221" s="384">
        <v>630</v>
      </c>
      <c r="H221" s="384">
        <v>9.014925373134329</v>
      </c>
      <c r="I221" s="384">
        <v>15.517241379310345</v>
      </c>
      <c r="J221">
        <v>1280</v>
      </c>
      <c r="K221">
        <v>3210</v>
      </c>
      <c r="L221" s="384">
        <v>6.594538897475529</v>
      </c>
      <c r="M221" s="384">
        <v>8.12041487477865</v>
      </c>
      <c r="N221">
        <v>1090</v>
      </c>
      <c r="O221">
        <v>0</v>
      </c>
      <c r="P221" s="272"/>
      <c r="Q221" s="266"/>
    </row>
    <row r="222" spans="1:17" ht="12.75">
      <c r="A222" t="s">
        <v>36</v>
      </c>
      <c r="B222" t="s">
        <v>674</v>
      </c>
      <c r="C222" t="s">
        <v>677</v>
      </c>
      <c r="D222" t="s">
        <v>204</v>
      </c>
      <c r="E222">
        <v>2011</v>
      </c>
      <c r="F222">
        <v>3590</v>
      </c>
      <c r="G222" s="384">
        <v>980</v>
      </c>
      <c r="H222" s="384">
        <v>10.71641791044776</v>
      </c>
      <c r="I222" s="384">
        <v>24.137931034482758</v>
      </c>
      <c r="J222">
        <v>1540</v>
      </c>
      <c r="K222">
        <v>3760</v>
      </c>
      <c r="L222" s="384">
        <v>7.934054611025244</v>
      </c>
      <c r="M222" s="384">
        <v>9.511763217809259</v>
      </c>
      <c r="N222">
        <v>1370</v>
      </c>
      <c r="O222">
        <v>0</v>
      </c>
      <c r="P222" s="272"/>
      <c r="Q222" s="266"/>
    </row>
    <row r="223" spans="1:17" ht="12.75">
      <c r="A223" t="s">
        <v>37</v>
      </c>
      <c r="B223" t="s">
        <v>367</v>
      </c>
      <c r="C223" t="s">
        <v>367</v>
      </c>
      <c r="D223" t="s">
        <v>204</v>
      </c>
      <c r="E223">
        <v>2011</v>
      </c>
      <c r="F223">
        <v>570</v>
      </c>
      <c r="G223" s="384">
        <v>180</v>
      </c>
      <c r="H223" s="384">
        <v>1.7014925373134329</v>
      </c>
      <c r="I223" s="384">
        <v>4.433497536945813</v>
      </c>
      <c r="J223">
        <v>460</v>
      </c>
      <c r="K223">
        <v>590</v>
      </c>
      <c r="L223" s="384">
        <v>2.369912416280268</v>
      </c>
      <c r="M223" s="384">
        <v>1.4925373134328357</v>
      </c>
      <c r="N223">
        <v>440</v>
      </c>
      <c r="O223">
        <v>0</v>
      </c>
      <c r="P223" s="272"/>
      <c r="Q223" s="266"/>
    </row>
    <row r="224" spans="1:17" ht="12.75">
      <c r="A224" t="s">
        <v>38</v>
      </c>
      <c r="B224" t="s">
        <v>675</v>
      </c>
      <c r="C224" t="s">
        <v>675</v>
      </c>
      <c r="D224" t="s">
        <v>204</v>
      </c>
      <c r="E224">
        <v>2011</v>
      </c>
      <c r="F224">
        <v>1980</v>
      </c>
      <c r="G224" s="384">
        <v>70</v>
      </c>
      <c r="H224" s="384">
        <v>5.91044776119403</v>
      </c>
      <c r="I224" s="384">
        <v>1.7241379310344827</v>
      </c>
      <c r="J224">
        <v>2840</v>
      </c>
      <c r="K224">
        <v>2060</v>
      </c>
      <c r="L224" s="384">
        <v>14.631633178773829</v>
      </c>
      <c r="M224" s="384">
        <v>5.211231975714647</v>
      </c>
      <c r="N224">
        <v>2760</v>
      </c>
      <c r="O224">
        <v>0</v>
      </c>
      <c r="P224" s="272"/>
      <c r="Q224" s="266"/>
    </row>
    <row r="225" spans="1:17" ht="12.75">
      <c r="A225" t="s">
        <v>39</v>
      </c>
      <c r="B225" t="s">
        <v>676</v>
      </c>
      <c r="C225" t="s">
        <v>17</v>
      </c>
      <c r="D225" t="s">
        <v>204</v>
      </c>
      <c r="E225">
        <v>2011</v>
      </c>
      <c r="F225">
        <v>18980</v>
      </c>
      <c r="G225" s="384">
        <v>1490</v>
      </c>
      <c r="H225" s="384">
        <v>56.656716417910445</v>
      </c>
      <c r="I225" s="384">
        <v>36.69950738916256</v>
      </c>
      <c r="J225">
        <v>10050</v>
      </c>
      <c r="K225">
        <v>21640</v>
      </c>
      <c r="L225" s="384">
        <v>51.777434312210204</v>
      </c>
      <c r="M225" s="384">
        <v>54.74323298760435</v>
      </c>
      <c r="N225">
        <v>7390</v>
      </c>
      <c r="O225">
        <v>0</v>
      </c>
      <c r="P225" s="272"/>
      <c r="Q225" s="266"/>
    </row>
    <row r="226" spans="1:17" ht="12.75">
      <c r="A226" t="s">
        <v>40</v>
      </c>
      <c r="B226" t="s">
        <v>370</v>
      </c>
      <c r="C226" t="s">
        <v>17</v>
      </c>
      <c r="D226" t="s">
        <v>204</v>
      </c>
      <c r="E226">
        <v>2011</v>
      </c>
      <c r="F226">
        <v>4390</v>
      </c>
      <c r="G226" s="384">
        <v>460</v>
      </c>
      <c r="H226" s="384">
        <v>13.104477611940299</v>
      </c>
      <c r="I226" s="384">
        <v>11.330049261083744</v>
      </c>
      <c r="J226">
        <v>1480</v>
      </c>
      <c r="K226">
        <v>4770</v>
      </c>
      <c r="L226" s="384">
        <v>7.62493560020608</v>
      </c>
      <c r="M226" s="384">
        <v>12.066784720465469</v>
      </c>
      <c r="N226">
        <v>1100</v>
      </c>
      <c r="O226">
        <v>0</v>
      </c>
      <c r="P226" s="272"/>
      <c r="Q226" s="266"/>
    </row>
    <row r="227" spans="1:17" ht="12.75">
      <c r="A227" t="s">
        <v>41</v>
      </c>
      <c r="B227" t="s">
        <v>678</v>
      </c>
      <c r="C227" t="s">
        <v>678</v>
      </c>
      <c r="D227" t="s">
        <v>204</v>
      </c>
      <c r="E227">
        <v>2011</v>
      </c>
      <c r="F227">
        <v>7180</v>
      </c>
      <c r="G227" s="384">
        <v>1790</v>
      </c>
      <c r="H227" s="384">
        <v>21.43283582089552</v>
      </c>
      <c r="I227" s="384">
        <v>44.08866995073892</v>
      </c>
      <c r="J227">
        <v>3280</v>
      </c>
      <c r="K227">
        <v>7560</v>
      </c>
      <c r="L227" s="384">
        <v>16.89850592478104</v>
      </c>
      <c r="M227" s="384">
        <v>19.12471540602074</v>
      </c>
      <c r="N227">
        <v>2900</v>
      </c>
      <c r="O227">
        <v>750</v>
      </c>
      <c r="P227" s="272"/>
      <c r="Q227" s="266"/>
    </row>
    <row r="228" spans="1:17" ht="12.75">
      <c r="A228" t="s">
        <v>42</v>
      </c>
      <c r="B228" t="s">
        <v>679</v>
      </c>
      <c r="C228" t="s">
        <v>679</v>
      </c>
      <c r="D228" t="s">
        <v>204</v>
      </c>
      <c r="E228">
        <v>2011</v>
      </c>
      <c r="F228">
        <v>23370</v>
      </c>
      <c r="G228" s="384">
        <v>1950</v>
      </c>
      <c r="H228" s="384">
        <v>69.76119402985074</v>
      </c>
      <c r="I228" s="384">
        <v>48.029556650246306</v>
      </c>
      <c r="J228">
        <v>11530</v>
      </c>
      <c r="K228">
        <v>26410</v>
      </c>
      <c r="L228" s="384">
        <v>59.402369912416276</v>
      </c>
      <c r="M228" s="384">
        <v>66.81001770806982</v>
      </c>
      <c r="N228">
        <v>8490</v>
      </c>
      <c r="O228">
        <v>1240</v>
      </c>
      <c r="P228" s="272"/>
      <c r="Q228" s="266"/>
    </row>
    <row r="229" spans="1:17" ht="12.75">
      <c r="A229" t="s">
        <v>43</v>
      </c>
      <c r="B229" t="s">
        <v>577</v>
      </c>
      <c r="C229" t="s">
        <v>577</v>
      </c>
      <c r="D229" t="s">
        <v>204</v>
      </c>
      <c r="E229">
        <v>2011</v>
      </c>
      <c r="F229">
        <v>32530</v>
      </c>
      <c r="G229" s="384">
        <v>3810</v>
      </c>
      <c r="H229" s="384">
        <v>97.1044776119403</v>
      </c>
      <c r="I229" s="384">
        <v>93.8423645320197</v>
      </c>
      <c r="J229">
        <v>17650</v>
      </c>
      <c r="K229">
        <v>36030</v>
      </c>
      <c r="L229" s="384">
        <v>90.93250901597115</v>
      </c>
      <c r="M229" s="384">
        <v>91.14596508980522</v>
      </c>
      <c r="N229">
        <v>14150</v>
      </c>
      <c r="O229">
        <v>1990</v>
      </c>
      <c r="P229" s="272"/>
      <c r="Q229" s="266"/>
    </row>
    <row r="230" spans="1:17" ht="12.75">
      <c r="A230" t="s">
        <v>44</v>
      </c>
      <c r="B230" t="s">
        <v>578</v>
      </c>
      <c r="C230" t="s">
        <v>578</v>
      </c>
      <c r="D230" t="s">
        <v>204</v>
      </c>
      <c r="E230">
        <v>2011</v>
      </c>
      <c r="F230">
        <v>970</v>
      </c>
      <c r="G230" s="384">
        <v>250</v>
      </c>
      <c r="H230" s="384">
        <v>2.8955223880597014</v>
      </c>
      <c r="I230" s="384">
        <v>6.157635467980295</v>
      </c>
      <c r="J230">
        <v>1760</v>
      </c>
      <c r="K230">
        <v>3500</v>
      </c>
      <c r="L230" s="384">
        <v>9.067490984028852</v>
      </c>
      <c r="M230" s="384">
        <v>8.85403491019479</v>
      </c>
      <c r="N230">
        <v>1220</v>
      </c>
      <c r="O230">
        <v>1990</v>
      </c>
      <c r="P230" s="272"/>
      <c r="Q230" s="266"/>
    </row>
    <row r="231" spans="1:17" ht="12.75">
      <c r="A231" t="s">
        <v>45</v>
      </c>
      <c r="B231" t="s">
        <v>223</v>
      </c>
      <c r="C231" t="s">
        <v>223</v>
      </c>
      <c r="D231" t="s">
        <v>204</v>
      </c>
      <c r="E231">
        <v>2011</v>
      </c>
      <c r="F231">
        <v>33500</v>
      </c>
      <c r="G231" s="384">
        <v>4060</v>
      </c>
      <c r="H231" s="384">
        <v>100</v>
      </c>
      <c r="I231" s="384">
        <v>100</v>
      </c>
      <c r="J231">
        <v>19410</v>
      </c>
      <c r="K231">
        <v>39530</v>
      </c>
      <c r="L231" s="384">
        <v>100</v>
      </c>
      <c r="M231" s="384">
        <v>100</v>
      </c>
      <c r="N231">
        <v>15370</v>
      </c>
      <c r="O231">
        <v>1990</v>
      </c>
      <c r="P231" s="272"/>
      <c r="Q231" s="266"/>
    </row>
    <row r="232" spans="1:17" ht="11.25">
      <c r="A232" s="217"/>
      <c r="B232" s="181"/>
      <c r="C232" s="181"/>
      <c r="D232" s="181"/>
      <c r="E232" s="199"/>
      <c r="F232" s="278"/>
      <c r="G232" s="278"/>
      <c r="H232" s="278"/>
      <c r="I232" s="278"/>
      <c r="J232" s="278"/>
      <c r="K232" s="278"/>
      <c r="L232" s="278"/>
      <c r="M232" s="278"/>
      <c r="N232" s="278"/>
      <c r="O232" s="279"/>
      <c r="P232" s="273"/>
      <c r="Q232" s="268"/>
    </row>
    <row r="233" spans="1:17" ht="11.25">
      <c r="A233" s="217">
        <v>1</v>
      </c>
      <c r="B233" s="181">
        <f aca="true" t="shared" si="17" ref="B233:G233">A233+1</f>
        <v>2</v>
      </c>
      <c r="C233" s="181">
        <f t="shared" si="17"/>
        <v>3</v>
      </c>
      <c r="D233" s="181">
        <f t="shared" si="17"/>
        <v>4</v>
      </c>
      <c r="E233" s="199">
        <f t="shared" si="17"/>
        <v>5</v>
      </c>
      <c r="F233" s="199">
        <f t="shared" si="17"/>
        <v>6</v>
      </c>
      <c r="G233" s="199">
        <f t="shared" si="17"/>
        <v>7</v>
      </c>
      <c r="H233" s="199">
        <f aca="true" t="shared" si="18" ref="H233:O233">G233+1</f>
        <v>8</v>
      </c>
      <c r="I233" s="199">
        <f t="shared" si="18"/>
        <v>9</v>
      </c>
      <c r="J233" s="199">
        <f t="shared" si="18"/>
        <v>10</v>
      </c>
      <c r="K233" s="199">
        <f t="shared" si="18"/>
        <v>11</v>
      </c>
      <c r="L233" s="199">
        <f t="shared" si="18"/>
        <v>12</v>
      </c>
      <c r="M233" s="199">
        <f t="shared" si="18"/>
        <v>13</v>
      </c>
      <c r="N233" s="199">
        <f t="shared" si="18"/>
        <v>14</v>
      </c>
      <c r="O233" s="280">
        <f t="shared" si="18"/>
        <v>15</v>
      </c>
      <c r="P233" s="217"/>
      <c r="Q233" s="181"/>
    </row>
    <row r="234" spans="1:17" ht="11.25">
      <c r="A234" s="230"/>
      <c r="B234" s="216"/>
      <c r="C234" s="216"/>
      <c r="D234" s="216"/>
      <c r="E234" s="281"/>
      <c r="F234" s="281"/>
      <c r="G234" s="281"/>
      <c r="H234" s="281"/>
      <c r="I234" s="281"/>
      <c r="J234" s="281"/>
      <c r="K234" s="281"/>
      <c r="L234" s="281"/>
      <c r="M234" s="281"/>
      <c r="N234" s="281"/>
      <c r="O234" s="282"/>
      <c r="P234" s="217"/>
      <c r="Q234" s="181"/>
    </row>
  </sheetData>
  <sheetProtection password="CC42" sheet="1" objects="1" scenarios="1" selectLockedCells="1" selectUnlockedCells="1"/>
  <dataValidations count="2">
    <dataValidation type="list" allowBlank="1" showInputMessage="1" showErrorMessage="1" sqref="G118">
      <formula1>$N$106:$N$106</formula1>
    </dataValidation>
    <dataValidation type="list" allowBlank="1" showInputMessage="1" showErrorMessage="1" sqref="G117">
      <formula1>$K$117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B1:BJ992"/>
  <sheetViews>
    <sheetView showGridLines="0" showZeros="0" zoomScale="85" zoomScaleNormal="85" workbookViewId="0" topLeftCell="A1">
      <selection activeCell="M13" sqref="M13"/>
    </sheetView>
  </sheetViews>
  <sheetFormatPr defaultColWidth="11.421875" defaultRowHeight="12.75"/>
  <cols>
    <col min="1" max="1" width="3.00390625" style="183" customWidth="1"/>
    <col min="2" max="2" width="27.140625" style="183" customWidth="1"/>
    <col min="3" max="3" width="8.28125" style="183" customWidth="1"/>
    <col min="4" max="4" width="13.00390625" style="183" customWidth="1"/>
    <col min="5" max="5" width="12.8515625" style="183" customWidth="1"/>
    <col min="6" max="6" width="13.421875" style="183" customWidth="1"/>
    <col min="7" max="7" width="12.421875" style="183" customWidth="1"/>
    <col min="8" max="8" width="11.28125" style="183" customWidth="1"/>
    <col min="9" max="9" width="18.57421875" style="183" bestFit="1" customWidth="1"/>
    <col min="10" max="10" width="9.8515625" style="183" bestFit="1" customWidth="1"/>
    <col min="11" max="12" width="6.7109375" style="183" customWidth="1"/>
    <col min="13" max="13" width="9.8515625" style="183" customWidth="1"/>
    <col min="14" max="14" width="9.00390625" style="183" customWidth="1"/>
    <col min="15" max="15" width="9.421875" style="183" customWidth="1"/>
    <col min="16" max="16" width="8.421875" style="183" customWidth="1"/>
    <col min="17" max="18" width="9.140625" style="183" customWidth="1"/>
    <col min="19" max="19" width="13.140625" style="183" customWidth="1"/>
    <col min="20" max="21" width="9.140625" style="183" customWidth="1"/>
    <col min="22" max="22" width="13.421875" style="183" customWidth="1"/>
    <col min="23" max="29" width="11.421875" style="183" customWidth="1"/>
    <col min="30" max="30" width="12.28125" style="183" customWidth="1"/>
    <col min="31" max="31" width="18.00390625" style="183" customWidth="1"/>
    <col min="32" max="32" width="16.57421875" style="183" customWidth="1"/>
    <col min="33" max="16384" width="9.140625" style="183" customWidth="1"/>
  </cols>
  <sheetData>
    <row r="1" spans="2:62" ht="15.75">
      <c r="B1" s="78" t="str">
        <f>"© Boeing "&amp;baseyear+1</f>
        <v>© Boeing 2011</v>
      </c>
      <c r="C1" s="78"/>
      <c r="D1" s="4"/>
      <c r="BJ1" s="42"/>
    </row>
    <row r="2" spans="2:62" ht="15.75">
      <c r="B2" s="80" t="str">
        <f>"Boeing Current Market Outlook "&amp;baseyear+1&amp;" to "&amp;baseyear+20</f>
        <v>Boeing Current Market Outlook 2011 to 2030</v>
      </c>
      <c r="C2" s="80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42"/>
    </row>
    <row r="3" spans="2:62" ht="15.75">
      <c r="B3" s="78" t="s">
        <v>392</v>
      </c>
      <c r="C3" s="78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42"/>
    </row>
    <row r="5" spans="2:62" ht="15.75">
      <c r="B5" s="288" t="s">
        <v>100</v>
      </c>
      <c r="C5" s="41" t="s">
        <v>376</v>
      </c>
      <c r="BJ5" s="42"/>
    </row>
    <row r="6" spans="2:3" ht="15">
      <c r="B6" s="293">
        <v>2011</v>
      </c>
      <c r="C6" s="41" t="s">
        <v>644</v>
      </c>
    </row>
    <row r="7" spans="2:3" ht="15">
      <c r="B7" s="68" t="s">
        <v>204</v>
      </c>
      <c r="C7" s="41" t="s">
        <v>643</v>
      </c>
    </row>
    <row r="8" spans="2:3" ht="15">
      <c r="B8" s="68"/>
      <c r="C8" s="41" t="s">
        <v>377</v>
      </c>
    </row>
    <row r="9" spans="2:34" ht="24" customHeight="1">
      <c r="B9" s="185" t="s">
        <v>563</v>
      </c>
      <c r="C9" s="185"/>
      <c r="D9" s="186"/>
      <c r="E9" s="186"/>
      <c r="F9" s="186"/>
      <c r="G9" s="187"/>
      <c r="H9" s="187"/>
      <c r="I9" s="186"/>
      <c r="J9" s="186"/>
      <c r="K9" s="186"/>
      <c r="L9" s="186"/>
      <c r="M9" s="186"/>
      <c r="N9" s="186"/>
      <c r="O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0" spans="7:8" ht="21" customHeight="1">
      <c r="G10" s="188"/>
      <c r="H10" s="188"/>
    </row>
    <row r="11" ht="23.25">
      <c r="B11" s="27" t="str">
        <f>$B$5</f>
        <v>World</v>
      </c>
    </row>
    <row r="12" spans="2:5" ht="15.75">
      <c r="B12" s="67" t="s">
        <v>378</v>
      </c>
      <c r="C12" s="287">
        <f>$C$39</f>
        <v>4060</v>
      </c>
      <c r="D12" s="4" t="s">
        <v>220</v>
      </c>
      <c r="E12" s="184"/>
    </row>
    <row r="13" ht="12.75"/>
    <row r="14" ht="12.75"/>
    <row r="15" ht="12.75">
      <c r="AI15" s="8"/>
    </row>
    <row r="16" ht="12.75">
      <c r="AI16" s="8"/>
    </row>
    <row r="17" ht="12.75">
      <c r="AI17" s="8"/>
    </row>
    <row r="18" ht="14.25" customHeight="1">
      <c r="AI18" s="8"/>
    </row>
    <row r="19" ht="12.75">
      <c r="AI19" s="8"/>
    </row>
    <row r="20" ht="12.75">
      <c r="AI20" s="8"/>
    </row>
    <row r="21" ht="12.75">
      <c r="AI21" s="8"/>
    </row>
    <row r="22" ht="12.75"/>
    <row r="23" ht="12.75">
      <c r="AI23" s="8"/>
    </row>
    <row r="24" ht="12.75">
      <c r="AI24" s="8"/>
    </row>
    <row r="25" spans="7:8" ht="12.75">
      <c r="G25" s="189"/>
      <c r="H25" s="189"/>
    </row>
    <row r="26" ht="15">
      <c r="G26" s="289" t="str">
        <f>baseyear+1&amp;" to "&amp;baseyear+20</f>
        <v>2011 to 2030</v>
      </c>
    </row>
    <row r="27" spans="4:7" ht="25.5">
      <c r="D27" s="190" t="s">
        <v>222</v>
      </c>
      <c r="E27" s="190" t="s">
        <v>222</v>
      </c>
      <c r="G27" s="191" t="s">
        <v>221</v>
      </c>
    </row>
    <row r="28" spans="4:7" s="184" customFormat="1" ht="15">
      <c r="D28" s="66">
        <f>$G$42</f>
        <v>19410</v>
      </c>
      <c r="E28" s="66">
        <f>$H$42</f>
        <v>39530</v>
      </c>
      <c r="G28" s="66">
        <f>$G$35</f>
        <v>33500</v>
      </c>
    </row>
    <row r="30" spans="2:8" ht="38.25">
      <c r="B30" s="4" t="s">
        <v>123</v>
      </c>
      <c r="C30" s="7" t="s">
        <v>125</v>
      </c>
      <c r="F30" s="11" t="str">
        <f>"New airplane deliveries "&amp;Sheet1!$F$114&amp;" to "&amp;Sheet1!$F$114-1+LEFT(Forecast_timeframe,2)</f>
        <v>New airplane deliveries 2011 to 2030</v>
      </c>
      <c r="G30" s="31" t="s">
        <v>117</v>
      </c>
      <c r="H30" s="31" t="s">
        <v>121</v>
      </c>
    </row>
    <row r="31" spans="2:8" ht="12.75">
      <c r="B31" s="183" t="str">
        <f>Sheet1!G2</f>
        <v>GDP growth rate</v>
      </c>
      <c r="C31" s="189">
        <f>VLOOKUP(Sheet1!$B$109,Sheet1!$B$2:$BM$104,Sheet1!G$107,FALSE)</f>
        <v>3.3</v>
      </c>
      <c r="F31" s="183" t="s">
        <v>357</v>
      </c>
      <c r="G31" s="188">
        <f>VLOOKUP(Sheet1!$B$109,Sheet1!$B$2:$BM$104,Sheet1!R$107,FALSE)</f>
        <v>820</v>
      </c>
      <c r="H31" s="188">
        <f>VLOOKUP(Sheet1!$B$109,Sheet1!$B$2:$BM$104,Sheet1!V$107,FALSE)</f>
        <v>2.4477611940298507</v>
      </c>
    </row>
    <row r="32" spans="2:8" ht="12.75">
      <c r="B32" s="183" t="str">
        <f>Sheet1!H2</f>
        <v>Traffic growth rate</v>
      </c>
      <c r="C32" s="189">
        <f>VLOOKUP(Sheet1!$B$109,Sheet1!$B$2:$BM$104,Sheet1!H$107,FALSE)</f>
        <v>5.1</v>
      </c>
      <c r="F32" s="183" t="s">
        <v>114</v>
      </c>
      <c r="G32" s="188">
        <f>VLOOKUP(Sheet1!$B$109,Sheet1!$B$2:$BM$104,Sheet1!S$107,FALSE)</f>
        <v>7330</v>
      </c>
      <c r="H32" s="188">
        <f>VLOOKUP(Sheet1!$B$109,Sheet1!$B$2:$BM$104,Sheet1!W$107,FALSE)</f>
        <v>21.880597014925375</v>
      </c>
    </row>
    <row r="33" spans="2:8" ht="12.75">
      <c r="B33" s="183" t="str">
        <f>Sheet1!I2</f>
        <v>Cargo growth rate</v>
      </c>
      <c r="C33" s="189">
        <f>VLOOKUP(Sheet1!$B$109,Sheet1!$B$2:$BM$104,Sheet1!I$107,FALSE)</f>
        <v>5.6</v>
      </c>
      <c r="F33" s="183" t="s">
        <v>115</v>
      </c>
      <c r="G33" s="188">
        <f>VLOOKUP(Sheet1!$B$109,Sheet1!$B$2:$BM$104,Sheet1!T$107,FALSE)</f>
        <v>23370</v>
      </c>
      <c r="H33" s="188">
        <f>VLOOKUP(Sheet1!$B$109,Sheet1!$B$2:$BM$104,Sheet1!X$107,FALSE)</f>
        <v>69.76119402985074</v>
      </c>
    </row>
    <row r="34" spans="2:8" ht="12.75">
      <c r="B34" s="183" t="str">
        <f>Sheet1!J2</f>
        <v>Fleet growth rate</v>
      </c>
      <c r="C34" s="189">
        <f>VLOOKUP(Sheet1!$B$109,Sheet1!$B$2:$BM$104,Sheet1!J$107,FALSE)</f>
        <v>3.620352164342089</v>
      </c>
      <c r="F34" s="183" t="s">
        <v>116</v>
      </c>
      <c r="G34" s="192">
        <f>VLOOKUP(Sheet1!$B$109,Sheet1!$B$2:$BM$104,Sheet1!U$107,FALSE)</f>
        <v>1980</v>
      </c>
      <c r="H34" s="188">
        <f>VLOOKUP(Sheet1!$B$109,Sheet1!$B$2:$BM$104,Sheet1!Y$107,FALSE)</f>
        <v>5.91044776119403</v>
      </c>
    </row>
    <row r="35" spans="3:8" ht="12.75">
      <c r="C35" s="189">
        <f>VLOOKUP(Sheet1!$B$109,Sheet1!$B$2:$BM$107,Sheet1!K$107,FALSE)</f>
        <v>0</v>
      </c>
      <c r="F35" s="183" t="s">
        <v>120</v>
      </c>
      <c r="G35" s="188">
        <f>VLOOKUP(Sheet1!$B$109,Sheet1!$B$2:$BM$104,Sheet1!L$107,FALSE)</f>
        <v>33500</v>
      </c>
      <c r="H35" s="188"/>
    </row>
    <row r="36" spans="2:3" ht="12.75">
      <c r="B36" s="4"/>
      <c r="C36" s="7"/>
    </row>
    <row r="37" spans="2:9" ht="25.5">
      <c r="B37" s="4" t="s">
        <v>124</v>
      </c>
      <c r="G37" s="69" t="str">
        <f>"Fleet in "&amp;Sheet1!$F$114-1</f>
        <v>Fleet in 2010</v>
      </c>
      <c r="H37" s="69" t="str">
        <f>"Fleet in "&amp;Sheet1!$F$114-1+LEFT(Sheet1!F113,2)</f>
        <v>Fleet in 2030</v>
      </c>
      <c r="I37" s="188"/>
    </row>
    <row r="38" spans="2:8" ht="12.75">
      <c r="B38" s="8" t="s">
        <v>117</v>
      </c>
      <c r="C38" s="188">
        <f>VLOOKUP(Sheet1!$B$109,Sheet1!$B$2:$BM$104,Sheet1!L$107,FALSE)</f>
        <v>33500</v>
      </c>
      <c r="D38" s="183" t="s">
        <v>379</v>
      </c>
      <c r="F38" s="183" t="s">
        <v>357</v>
      </c>
      <c r="G38" s="188">
        <f>VLOOKUP(Sheet1!$B$109,Sheet1!$B$2:$BM$104,Sheet1!AB$107,FALSE)</f>
        <v>770</v>
      </c>
      <c r="H38" s="188">
        <f>VLOOKUP(Sheet1!$B$109,Sheet1!$B$2:$BM$104,Sheet1!AF$107,FALSE)</f>
        <v>1140</v>
      </c>
    </row>
    <row r="39" spans="2:8" ht="12.75">
      <c r="B39" s="183" t="s">
        <v>84</v>
      </c>
      <c r="C39" s="188">
        <f>ROUND(VLOOKUP(Sheet1!$B$109,Sheet1!$B$2:$BM$104,Sheet1!P$107,FALSE),0)</f>
        <v>4060</v>
      </c>
      <c r="D39" s="183" t="str">
        <f>"($B "&amp;Sheet1!$F$114-1&amp;")"</f>
        <v>($B 2010)</v>
      </c>
      <c r="F39" s="183" t="s">
        <v>114</v>
      </c>
      <c r="G39" s="188">
        <f>VLOOKUP(Sheet1!$B$109,Sheet1!$B$2:$BM$104,Sheet1!AC$107,FALSE)</f>
        <v>3640</v>
      </c>
      <c r="H39" s="188">
        <f>VLOOKUP(Sheet1!$B$109,Sheet1!$B$2:$BM$104,Sheet1!AG$107,FALSE)</f>
        <v>8570</v>
      </c>
    </row>
    <row r="40" spans="2:8" ht="12.75">
      <c r="B40" s="183" t="s">
        <v>118</v>
      </c>
      <c r="C40" s="183">
        <f>ROUND(VLOOKUP(Sheet1!$B$109,Sheet1!$B$2:$BM$104,Sheet1!Q$107,FALSE),0)</f>
        <v>120</v>
      </c>
      <c r="D40" s="183" t="str">
        <f>"($M "&amp;Sheet1!$F$114-1&amp;")"</f>
        <v>($M 2010)</v>
      </c>
      <c r="F40" s="183" t="s">
        <v>115</v>
      </c>
      <c r="G40" s="188">
        <f>VLOOKUP(Sheet1!$B$109,Sheet1!$B$2:$BM$104,Sheet1!AD$107,FALSE)</f>
        <v>12100</v>
      </c>
      <c r="H40" s="188">
        <f>VLOOKUP(Sheet1!$B$109,Sheet1!$B$2:$BM$104,Sheet1!AH$107,FALSE)</f>
        <v>27750</v>
      </c>
    </row>
    <row r="41" spans="5:8" ht="12.75">
      <c r="E41" s="193"/>
      <c r="F41" s="183" t="s">
        <v>116</v>
      </c>
      <c r="G41" s="192">
        <f>VLOOKUP(Sheet1!$B$109,Sheet1!$B$2:$BM$104,Sheet1!AE$107,FALSE)</f>
        <v>2900</v>
      </c>
      <c r="H41" s="192">
        <f>VLOOKUP(Sheet1!$B$109,Sheet1!$B$2:$BM$104,Sheet1!AI$107,FALSE)</f>
        <v>2070</v>
      </c>
    </row>
    <row r="42" spans="6:8" ht="12.75">
      <c r="F42" s="183" t="s">
        <v>119</v>
      </c>
      <c r="G42" s="188">
        <f>VLOOKUP(Sheet1!$B$109,Sheet1!$B$2:$BM$104,Sheet1!Z$107,FALSE)</f>
        <v>19410</v>
      </c>
      <c r="H42" s="188">
        <f>VLOOKUP(Sheet1!$B$109,Sheet1!$B$2:$BM$104,Sheet1!AA$107,FALSE)</f>
        <v>39530</v>
      </c>
    </row>
    <row r="45" spans="2:16" ht="24" customHeight="1">
      <c r="B45" s="183" t="str">
        <f>"The traffic table below is not a complete list of all traffic flows related to "&amp;B5&amp;" as some are too small to display."</f>
        <v>The traffic table below is not a complete list of all traffic flows related to World as some are too small to display.</v>
      </c>
      <c r="G45" s="188"/>
      <c r="H45" s="188"/>
      <c r="O45" s="24"/>
      <c r="P45" s="24"/>
    </row>
    <row r="46" spans="2:8" ht="12.75">
      <c r="B46" s="4"/>
      <c r="C46" s="4"/>
      <c r="G46" s="188"/>
      <c r="H46" s="188"/>
    </row>
    <row r="47" spans="2:13" ht="22.5">
      <c r="B47" s="284" t="s">
        <v>388</v>
      </c>
      <c r="C47" s="284"/>
      <c r="D47" s="14" t="s">
        <v>148</v>
      </c>
      <c r="E47" s="15"/>
      <c r="F47" s="15"/>
      <c r="G47" s="15"/>
      <c r="H47" s="15"/>
      <c r="I47" s="15"/>
      <c r="J47" s="15"/>
      <c r="K47" s="16"/>
      <c r="L47" s="16"/>
      <c r="M47" s="70" t="s">
        <v>202</v>
      </c>
    </row>
    <row r="48" spans="2:42" ht="22.5">
      <c r="B48" s="18" t="str">
        <f>'Traffic data for database'!A4</f>
        <v>Traffic flow</v>
      </c>
      <c r="C48" s="18"/>
      <c r="D48" s="77">
        <f aca="true" t="shared" si="0" ref="D48:I48">E48-1</f>
        <v>2003</v>
      </c>
      <c r="E48" s="77">
        <f t="shared" si="0"/>
        <v>2004</v>
      </c>
      <c r="F48" s="77">
        <f t="shared" si="0"/>
        <v>2005</v>
      </c>
      <c r="G48" s="77">
        <f t="shared" si="0"/>
        <v>2006</v>
      </c>
      <c r="H48" s="77">
        <f t="shared" si="0"/>
        <v>2007</v>
      </c>
      <c r="I48" s="77">
        <f t="shared" si="0"/>
        <v>2008</v>
      </c>
      <c r="J48" s="77">
        <f>K48-1</f>
        <v>2009</v>
      </c>
      <c r="K48" s="77">
        <f>baseyear</f>
        <v>2010</v>
      </c>
      <c r="L48" s="60">
        <f>endyear</f>
        <v>2030</v>
      </c>
      <c r="M48" s="70" t="str">
        <f>IF(Forecast_timeframe="20 years",baseyear&amp;" to "&amp;baseyear+20,baseyear&amp;" to "&amp;baseyear+10)</f>
        <v>2010 to 2030</v>
      </c>
      <c r="N48" s="50"/>
      <c r="O48" s="50"/>
      <c r="P48" s="50"/>
      <c r="Q48" s="50"/>
      <c r="R48" s="50"/>
      <c r="S48" s="50"/>
      <c r="AH48" s="50"/>
      <c r="AI48" s="50"/>
      <c r="AJ48" s="50"/>
      <c r="AK48" s="50"/>
      <c r="AL48" s="50"/>
      <c r="AM48" s="50"/>
      <c r="AN48" s="50"/>
      <c r="AO48" s="50"/>
      <c r="AP48" s="50"/>
    </row>
    <row r="49" spans="2:42" ht="12.75">
      <c r="B49" s="20" t="str">
        <f>IF(Sheet1!$A127="yes",Sheet1!C132,"")</f>
        <v>World Total</v>
      </c>
      <c r="C49" s="20"/>
      <c r="D49" s="52">
        <f>IF(Sheet1!$A127="yes",HLOOKUP(D$48,Sheet1!$C$129:$M$184,Sheet1!$B132,FALSE),"")</f>
        <v>3304.1760000000027</v>
      </c>
      <c r="E49" s="52">
        <f>IF(Sheet1!$A127="yes",HLOOKUP(E$48,Sheet1!$C$129:$M$184,Sheet1!$B132,FALSE),"")</f>
        <v>3754.33</v>
      </c>
      <c r="F49" s="52">
        <f>IF(Sheet1!$A127="yes",HLOOKUP(F$48,Sheet1!$C$129:$M$184,Sheet1!$B132,FALSE),"")</f>
        <v>4026.273999999999</v>
      </c>
      <c r="G49" s="52">
        <f>IF(Sheet1!$A127="yes",HLOOKUP(G$48,Sheet1!$C$129:$M$184,Sheet1!$B132,FALSE),"")</f>
        <v>4233.615966354</v>
      </c>
      <c r="H49" s="52">
        <f>IF(Sheet1!$A127="yes",HLOOKUP(H$48,Sheet1!$C$129:$M$184,Sheet1!$B132,FALSE),"")</f>
        <v>4538.853693633996</v>
      </c>
      <c r="I49" s="52">
        <f>IF(Sheet1!$A127="yes",HLOOKUP(I$48,Sheet1!$C$129:$M$184,Sheet1!$B132,FALSE),"")</f>
        <v>4611.475352732135</v>
      </c>
      <c r="J49" s="52">
        <f>IF(Sheet1!$A127="yes",HLOOKUP(J$48,Sheet1!$C$129:$M$184,Sheet1!$B132,FALSE),"")</f>
        <v>4519.245845677497</v>
      </c>
      <c r="K49" s="52">
        <f>IF(Sheet1!$A127="yes",Sheet1!L132,"")</f>
        <v>4880.785513331697</v>
      </c>
      <c r="L49" s="52">
        <f>IF(Sheet1!$A127="yes",Sheet1!M132,"")</f>
        <v>13312.460913023724</v>
      </c>
      <c r="M49" s="71">
        <f>IF(Sheet1!$A127="yes",Sheet1!O132,"")</f>
        <v>0.051449529809793004</v>
      </c>
      <c r="N49" s="50"/>
      <c r="O49" s="50"/>
      <c r="P49" s="50"/>
      <c r="Q49" s="50"/>
      <c r="R49" s="50"/>
      <c r="S49" s="50"/>
      <c r="AH49" s="50"/>
      <c r="AI49" s="50"/>
      <c r="AJ49" s="50"/>
      <c r="AK49" s="50"/>
      <c r="AL49" s="50"/>
      <c r="AM49" s="50"/>
      <c r="AN49" s="50"/>
      <c r="AO49" s="50"/>
      <c r="AP49" s="50"/>
    </row>
    <row r="50" spans="2:42" ht="12.75">
      <c r="B50" s="20" t="str">
        <f>IF(Sheet1!$A128="yes",Sheet1!C133,"")</f>
        <v>Within The Latin America Region</v>
      </c>
      <c r="C50" s="20"/>
      <c r="D50" s="52">
        <f>IF(Sheet1!$A128="yes",HLOOKUP(D$48,Sheet1!$C$129:$M$184,Sheet1!$B133,FALSE),"")</f>
        <v>84.67333088807929</v>
      </c>
      <c r="E50" s="52">
        <f>IF(Sheet1!$A128="yes",HLOOKUP(E$48,Sheet1!$C$129:$M$184,Sheet1!$B133,FALSE),"")</f>
        <v>95.04442563959148</v>
      </c>
      <c r="F50" s="52">
        <f>IF(Sheet1!$A128="yes",HLOOKUP(F$48,Sheet1!$C$129:$M$184,Sheet1!$B133,FALSE),"")</f>
        <v>100.94229799058651</v>
      </c>
      <c r="G50" s="52">
        <f>IF(Sheet1!$A128="yes",HLOOKUP(G$48,Sheet1!$C$129:$M$184,Sheet1!$B133,FALSE),"")</f>
        <v>112.76543333358975</v>
      </c>
      <c r="H50" s="52">
        <f>IF(Sheet1!$A128="yes",HLOOKUP(H$48,Sheet1!$C$129:$M$184,Sheet1!$B133,FALSE),"")</f>
        <v>123.76801671508396</v>
      </c>
      <c r="I50" s="52">
        <f>IF(Sheet1!$A128="yes",HLOOKUP(I$48,Sheet1!$C$129:$M$184,Sheet1!$B133,FALSE),"")</f>
        <v>126.97884197331965</v>
      </c>
      <c r="J50" s="52">
        <f>IF(Sheet1!$A128="yes",HLOOKUP(J$48,Sheet1!$C$129:$M$184,Sheet1!$B133,FALSE),"")</f>
        <v>130.69621949296527</v>
      </c>
      <c r="K50" s="52">
        <f>IF(Sheet1!$A128="yes",Sheet1!L133,"")</f>
        <v>164.3743791698082</v>
      </c>
      <c r="L50" s="52">
        <f>IF(Sheet1!$A128="yes",Sheet1!M133,"")</f>
        <v>600.8236874478256</v>
      </c>
      <c r="M50" s="71">
        <f>IF(Sheet1!$A128="yes",Sheet1!O133,"")</f>
        <v>0.06695387745605985</v>
      </c>
      <c r="N50" s="50"/>
      <c r="O50" s="50"/>
      <c r="P50" s="50"/>
      <c r="Q50" s="50"/>
      <c r="R50" s="50"/>
      <c r="S50" s="50"/>
      <c r="AH50" s="50"/>
      <c r="AI50" s="50"/>
      <c r="AJ50" s="50"/>
      <c r="AK50" s="50"/>
      <c r="AL50" s="50"/>
      <c r="AM50" s="50"/>
      <c r="AN50" s="50"/>
      <c r="AO50" s="50"/>
      <c r="AP50" s="50"/>
    </row>
    <row r="51" spans="2:42" ht="12.75">
      <c r="B51" s="20" t="str">
        <f>IF(Sheet1!$A129="yes",Sheet1!C134,"")</f>
        <v>Within the C.I.S Region</v>
      </c>
      <c r="C51" s="20"/>
      <c r="D51" s="52">
        <f>IF(Sheet1!$A129="yes",HLOOKUP(D$48,Sheet1!$C$129:$M$184,Sheet1!$B134,FALSE),"")</f>
        <v>50.228</v>
      </c>
      <c r="E51" s="52">
        <f>IF(Sheet1!$A129="yes",HLOOKUP(E$48,Sheet1!$C$129:$M$184,Sheet1!$B134,FALSE),"")</f>
        <v>54.749</v>
      </c>
      <c r="F51" s="52">
        <f>IF(Sheet1!$A129="yes",HLOOKUP(F$48,Sheet1!$C$129:$M$184,Sheet1!$B134,FALSE),"")</f>
        <v>55.953</v>
      </c>
      <c r="G51" s="52">
        <f>IF(Sheet1!$A129="yes",HLOOKUP(G$48,Sheet1!$C$129:$M$184,Sheet1!$B134,FALSE),"")</f>
        <v>57.347857015073416</v>
      </c>
      <c r="H51" s="52">
        <f>IF(Sheet1!$A129="yes",HLOOKUP(H$48,Sheet1!$C$129:$M$184,Sheet1!$B134,FALSE),"")</f>
        <v>57.71724433946208</v>
      </c>
      <c r="I51" s="52">
        <f>IF(Sheet1!$A129="yes",HLOOKUP(I$48,Sheet1!$C$129:$M$184,Sheet1!$B134,FALSE),"")</f>
        <v>61.23289354083867</v>
      </c>
      <c r="J51" s="52">
        <f>IF(Sheet1!$A129="yes",HLOOKUP(J$48,Sheet1!$C$129:$M$184,Sheet1!$B134,FALSE),"")</f>
        <v>48.97971081927359</v>
      </c>
      <c r="K51" s="52">
        <f>IF(Sheet1!$A129="yes",Sheet1!L134,"")</f>
        <v>52.89808768481548</v>
      </c>
      <c r="L51" s="52">
        <f>IF(Sheet1!$A129="yes",Sheet1!M134,"")</f>
        <v>134.56367940423203</v>
      </c>
      <c r="M51" s="71">
        <f>IF(Sheet1!$A129="yes",Sheet1!O134,"")</f>
        <v>0.04779034935552118</v>
      </c>
      <c r="N51" s="50"/>
      <c r="O51" s="50"/>
      <c r="P51" s="50"/>
      <c r="Q51" s="50"/>
      <c r="R51" s="50"/>
      <c r="S51" s="50"/>
      <c r="AH51" s="50"/>
      <c r="AI51" s="50"/>
      <c r="AJ51" s="50"/>
      <c r="AK51" s="50"/>
      <c r="AL51" s="50"/>
      <c r="AM51" s="50"/>
      <c r="AN51" s="50"/>
      <c r="AO51" s="50"/>
      <c r="AP51" s="50"/>
    </row>
    <row r="52" spans="2:42" ht="12.75">
      <c r="B52" s="20" t="str">
        <f>IF(Sheet1!$A130="yes",Sheet1!C135,"")</f>
        <v>Within The Asia Pacific Region</v>
      </c>
      <c r="C52" s="20"/>
      <c r="D52" s="52">
        <f>IF(Sheet1!$A130="yes",HLOOKUP(D$48,Sheet1!$C$129:$M$184,Sheet1!$B135,FALSE),"")</f>
        <v>518.9368215623612</v>
      </c>
      <c r="E52" s="52">
        <f>IF(Sheet1!$A130="yes",HLOOKUP(E$48,Sheet1!$C$129:$M$184,Sheet1!$B135,FALSE),"")</f>
        <v>634.6070505445804</v>
      </c>
      <c r="F52" s="52">
        <f>IF(Sheet1!$A130="yes",HLOOKUP(F$48,Sheet1!$C$129:$M$184,Sheet1!$B135,FALSE),"")</f>
        <v>692.8520923992028</v>
      </c>
      <c r="G52" s="52">
        <f>IF(Sheet1!$A130="yes",HLOOKUP(G$48,Sheet1!$C$129:$M$184,Sheet1!$B135,FALSE),"")</f>
        <v>737.149863282504</v>
      </c>
      <c r="H52" s="52">
        <f>IF(Sheet1!$A130="yes",HLOOKUP(H$48,Sheet1!$C$129:$M$184,Sheet1!$B135,FALSE),"")</f>
        <v>816.5721345419255</v>
      </c>
      <c r="I52" s="52">
        <f>IF(Sheet1!$A130="yes",HLOOKUP(I$48,Sheet1!$C$129:$M$184,Sheet1!$B135,FALSE),"")</f>
        <v>840.032319956945</v>
      </c>
      <c r="J52" s="52">
        <f>IF(Sheet1!$A130="yes",HLOOKUP(J$48,Sheet1!$C$129:$M$184,Sheet1!$B135,FALSE),"")</f>
        <v>859.2270367944952</v>
      </c>
      <c r="K52" s="52">
        <f>IF(Sheet1!$A130="yes",Sheet1!L135,"")</f>
        <v>980.9069219605817</v>
      </c>
      <c r="L52" s="52">
        <f>IF(Sheet1!$A130="yes",Sheet1!M135,"")</f>
        <v>3795.835581498747</v>
      </c>
      <c r="M52" s="71">
        <f>IF(Sheet1!$A130="yes",Sheet1!O135,"")</f>
        <v>0.0700004976253239</v>
      </c>
      <c r="N52" s="50"/>
      <c r="O52" s="50"/>
      <c r="P52" s="50"/>
      <c r="Q52" s="50"/>
      <c r="R52" s="50"/>
      <c r="S52" s="50"/>
      <c r="AH52" s="50"/>
      <c r="AI52" s="50"/>
      <c r="AJ52" s="50"/>
      <c r="AK52" s="50"/>
      <c r="AL52" s="50"/>
      <c r="AM52" s="50"/>
      <c r="AN52" s="50"/>
      <c r="AO52" s="50"/>
      <c r="AP52" s="50"/>
    </row>
    <row r="53" spans="2:42" ht="12.75">
      <c r="B53" s="20" t="str">
        <f>IF(Sheet1!$A131="yes",Sheet1!C136,"")</f>
        <v>Within Southeast Asia</v>
      </c>
      <c r="C53" s="20"/>
      <c r="D53" s="52">
        <f>IF(Sheet1!$A131="yes",HLOOKUP(D$48,Sheet1!$C$129:$M$184,Sheet1!$B136,FALSE),"")</f>
        <v>66.34370895769895</v>
      </c>
      <c r="E53" s="52">
        <f>IF(Sheet1!$A131="yes",HLOOKUP(E$48,Sheet1!$C$129:$M$184,Sheet1!$B136,FALSE),"")</f>
        <v>86.71365430749071</v>
      </c>
      <c r="F53" s="52">
        <f>IF(Sheet1!$A131="yes",HLOOKUP(F$48,Sheet1!$C$129:$M$184,Sheet1!$B136,FALSE),"")</f>
        <v>95.60543833597808</v>
      </c>
      <c r="G53" s="52">
        <f>IF(Sheet1!$A131="yes",HLOOKUP(G$48,Sheet1!$C$129:$M$184,Sheet1!$B136,FALSE),"")</f>
        <v>96.04381467636865</v>
      </c>
      <c r="H53" s="52">
        <f>IF(Sheet1!$A131="yes",HLOOKUP(H$48,Sheet1!$C$129:$M$184,Sheet1!$B136,FALSE),"")</f>
        <v>109.1838833500267</v>
      </c>
      <c r="I53" s="52">
        <f>IF(Sheet1!$A131="yes",HLOOKUP(I$48,Sheet1!$C$129:$M$184,Sheet1!$B136,FALSE),"")</f>
        <v>113.60770731000818</v>
      </c>
      <c r="J53" s="52">
        <f>IF(Sheet1!$A131="yes",HLOOKUP(J$48,Sheet1!$C$129:$M$184,Sheet1!$B136,FALSE),"")</f>
        <v>109.66663105832468</v>
      </c>
      <c r="K53" s="52">
        <f>IF(Sheet1!$A131="yes",Sheet1!L136,"")</f>
        <v>130.6552168673908</v>
      </c>
      <c r="L53" s="52">
        <f>IF(Sheet1!$A131="yes",Sheet1!M136,"")</f>
        <v>539.9769925900933</v>
      </c>
      <c r="M53" s="71">
        <f>IF(Sheet1!$A131="yes",Sheet1!O136,"")</f>
        <v>0.0735256486010234</v>
      </c>
      <c r="N53" s="50"/>
      <c r="O53" s="50"/>
      <c r="P53" s="50"/>
      <c r="Q53" s="50"/>
      <c r="R53" s="50"/>
      <c r="S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2:42" ht="12.75">
      <c r="B54" s="20" t="str">
        <f>IF(Sheet1!$A132="yes",Sheet1!C137,"")</f>
        <v>Within South Asia </v>
      </c>
      <c r="C54" s="20"/>
      <c r="D54" s="52">
        <f>IF(Sheet1!$A132="yes",HLOOKUP(D$48,Sheet1!$C$129:$M$184,Sheet1!$B137,FALSE),"")</f>
        <v>17.786039859614025</v>
      </c>
      <c r="E54" s="52">
        <f>IF(Sheet1!$A132="yes",HLOOKUP(E$48,Sheet1!$C$129:$M$184,Sheet1!$B137,FALSE),"")</f>
        <v>21.134652936641057</v>
      </c>
      <c r="F54" s="52">
        <f>IF(Sheet1!$A132="yes",HLOOKUP(F$48,Sheet1!$C$129:$M$184,Sheet1!$B137,FALSE),"")</f>
        <v>25.157580456281735</v>
      </c>
      <c r="G54" s="52">
        <f>IF(Sheet1!$A132="yes",HLOOKUP(G$48,Sheet1!$C$129:$M$184,Sheet1!$B137,FALSE),"")</f>
        <v>31.307106973552433</v>
      </c>
      <c r="H54" s="52">
        <f>IF(Sheet1!$A132="yes",HLOOKUP(H$48,Sheet1!$C$129:$M$184,Sheet1!$B137,FALSE),"")</f>
        <v>36.28896978190151</v>
      </c>
      <c r="I54" s="52">
        <f>IF(Sheet1!$A132="yes",HLOOKUP(I$48,Sheet1!$C$129:$M$184,Sheet1!$B137,FALSE),"")</f>
        <v>40.08260457755838</v>
      </c>
      <c r="J54" s="52">
        <f>IF(Sheet1!$A132="yes",HLOOKUP(J$48,Sheet1!$C$129:$M$184,Sheet1!$B137,FALSE),"")</f>
        <v>43.80947882761863</v>
      </c>
      <c r="K54" s="52">
        <f>IF(Sheet1!$A132="yes",Sheet1!L137,"")</f>
        <v>49.052227846033766</v>
      </c>
      <c r="L54" s="52">
        <f>IF(Sheet1!$A132="yes",Sheet1!M137,"")</f>
        <v>294.14873270938836</v>
      </c>
      <c r="M54" s="71">
        <f>IF(Sheet1!$A132="yes",Sheet1!O137,"")</f>
        <v>0.09369294898954839</v>
      </c>
      <c r="N54" s="50"/>
      <c r="O54" s="50"/>
      <c r="P54" s="50"/>
      <c r="Q54" s="50"/>
      <c r="R54" s="50"/>
      <c r="S54" s="50"/>
      <c r="AH54" s="50"/>
      <c r="AI54" s="50"/>
      <c r="AJ54" s="50"/>
      <c r="AK54" s="50"/>
      <c r="AL54" s="50"/>
      <c r="AM54" s="50"/>
      <c r="AN54" s="50"/>
      <c r="AO54" s="50"/>
      <c r="AP54" s="50"/>
    </row>
    <row r="55" spans="2:42" ht="12.75">
      <c r="B55" s="20" t="str">
        <f>IF(Sheet1!$A133="yes",Sheet1!C138,"")</f>
        <v>Within South America</v>
      </c>
      <c r="C55" s="20"/>
      <c r="D55" s="52">
        <f>IF(Sheet1!$A133="yes",HLOOKUP(D$48,Sheet1!$C$129:$M$184,Sheet1!$B138,FALSE),"")</f>
        <v>51.916004809980954</v>
      </c>
      <c r="E55" s="52">
        <f>IF(Sheet1!$A133="yes",HLOOKUP(E$48,Sheet1!$C$129:$M$184,Sheet1!$B138,FALSE),"")</f>
        <v>58.78714229947457</v>
      </c>
      <c r="F55" s="52">
        <f>IF(Sheet1!$A133="yes",HLOOKUP(F$48,Sheet1!$C$129:$M$184,Sheet1!$B138,FALSE),"")</f>
        <v>64.07122552618691</v>
      </c>
      <c r="G55" s="52">
        <f>IF(Sheet1!$A133="yes",HLOOKUP(G$48,Sheet1!$C$129:$M$184,Sheet1!$B138,FALSE),"")</f>
        <v>74.24963373586894</v>
      </c>
      <c r="H55" s="52">
        <f>IF(Sheet1!$A133="yes",HLOOKUP(H$48,Sheet1!$C$129:$M$184,Sheet1!$B138,FALSE),"")</f>
        <v>83.0790019637455</v>
      </c>
      <c r="I55" s="52">
        <f>IF(Sheet1!$A133="yes",HLOOKUP(I$48,Sheet1!$C$129:$M$184,Sheet1!$B138,FALSE),"")</f>
        <v>81.60267615990142</v>
      </c>
      <c r="J55" s="52">
        <f>IF(Sheet1!$A133="yes",HLOOKUP(J$48,Sheet1!$C$129:$M$184,Sheet1!$B138,FALSE),"")</f>
        <v>86.92804270025381</v>
      </c>
      <c r="K55" s="52">
        <f>IF(Sheet1!$A133="yes",Sheet1!L138,"")</f>
        <v>114.03533640084008</v>
      </c>
      <c r="L55" s="52">
        <f>IF(Sheet1!$A133="yes",Sheet1!M138,"")</f>
        <v>440.01054111098193</v>
      </c>
      <c r="M55" s="71">
        <f>IF(Sheet1!$A133="yes",Sheet1!O138,"")</f>
        <v>0.06984578909402162</v>
      </c>
      <c r="N55" s="50"/>
      <c r="O55" s="50"/>
      <c r="P55" s="50"/>
      <c r="Q55" s="50"/>
      <c r="R55" s="50"/>
      <c r="S55" s="50"/>
      <c r="AH55" s="50"/>
      <c r="AI55" s="50"/>
      <c r="AJ55" s="50"/>
      <c r="AK55" s="50"/>
      <c r="AL55" s="50"/>
      <c r="AM55" s="50"/>
      <c r="AN55" s="50"/>
      <c r="AO55" s="50"/>
      <c r="AP55" s="50"/>
    </row>
    <row r="56" spans="2:42" ht="12.75">
      <c r="B56" s="20" t="str">
        <f>IF(Sheet1!$A134="yes",Sheet1!C139,"")</f>
        <v>Within Oceania (Australasia)</v>
      </c>
      <c r="C56" s="20"/>
      <c r="D56" s="52">
        <f>IF(Sheet1!$A134="yes",HLOOKUP(D$48,Sheet1!$C$129:$M$184,Sheet1!$B139,FALSE),"")</f>
        <v>52.090416370207755</v>
      </c>
      <c r="E56" s="52">
        <f>IF(Sheet1!$A134="yes",HLOOKUP(E$48,Sheet1!$C$129:$M$184,Sheet1!$B139,FALSE),"")</f>
        <v>65.23008800980735</v>
      </c>
      <c r="F56" s="52">
        <f>IF(Sheet1!$A134="yes",HLOOKUP(F$48,Sheet1!$C$129:$M$184,Sheet1!$B139,FALSE),"")</f>
        <v>65.24891445046852</v>
      </c>
      <c r="G56" s="52">
        <f>IF(Sheet1!$A134="yes",HLOOKUP(G$48,Sheet1!$C$129:$M$184,Sheet1!$B139,FALSE),"")</f>
        <v>70.84283916738205</v>
      </c>
      <c r="H56" s="52">
        <f>IF(Sheet1!$A134="yes",HLOOKUP(H$48,Sheet1!$C$129:$M$184,Sheet1!$B139,FALSE),"")</f>
        <v>74.35423678066948</v>
      </c>
      <c r="I56" s="52">
        <f>IF(Sheet1!$A134="yes",HLOOKUP(I$48,Sheet1!$C$129:$M$184,Sheet1!$B139,FALSE),"")</f>
        <v>72.00871764661255</v>
      </c>
      <c r="J56" s="52">
        <f>IF(Sheet1!$A134="yes",HLOOKUP(J$48,Sheet1!$C$129:$M$184,Sheet1!$B139,FALSE),"")</f>
        <v>73.28949378028763</v>
      </c>
      <c r="K56" s="52">
        <f>IF(Sheet1!$A134="yes",Sheet1!L139,"")</f>
        <v>80.64546302871011</v>
      </c>
      <c r="L56" s="52">
        <f>IF(Sheet1!$A134="yes",Sheet1!M139,"")</f>
        <v>200.51772988039403</v>
      </c>
      <c r="M56" s="71">
        <f>IF(Sheet1!$A134="yes",Sheet1!O139,"")</f>
        <v>0.04659496712875333</v>
      </c>
      <c r="N56" s="50"/>
      <c r="O56" s="50"/>
      <c r="P56" s="50"/>
      <c r="Q56" s="50"/>
      <c r="R56" s="50"/>
      <c r="S56" s="50"/>
      <c r="AH56" s="50"/>
      <c r="AI56" s="50"/>
      <c r="AJ56" s="50"/>
      <c r="AK56" s="50"/>
      <c r="AL56" s="50"/>
      <c r="AM56" s="50"/>
      <c r="AN56" s="50"/>
      <c r="AO56" s="50"/>
      <c r="AP56" s="50"/>
    </row>
    <row r="57" spans="2:42" ht="12.75">
      <c r="B57" s="20" t="str">
        <f>IF(Sheet1!$A135="yes",Sheet1!C140,"")</f>
        <v>Within Northeast Asia</v>
      </c>
      <c r="C57" s="20"/>
      <c r="D57" s="52">
        <f>IF(Sheet1!$A135="yes",HLOOKUP(D$48,Sheet1!$C$129:$M$184,Sheet1!$B140,FALSE),"")</f>
        <v>78.82741774447031</v>
      </c>
      <c r="E57" s="52">
        <f>IF(Sheet1!$A135="yes",HLOOKUP(E$48,Sheet1!$C$129:$M$184,Sheet1!$B140,FALSE),"")</f>
        <v>72.65763144241254</v>
      </c>
      <c r="F57" s="52">
        <f>IF(Sheet1!$A135="yes",HLOOKUP(F$48,Sheet1!$C$129:$M$184,Sheet1!$B140,FALSE),"")</f>
        <v>70.10165997650257</v>
      </c>
      <c r="G57" s="52">
        <f>IF(Sheet1!$A135="yes",HLOOKUP(G$48,Sheet1!$C$129:$M$184,Sheet1!$B140,FALSE),"")</f>
        <v>72.80281916861298</v>
      </c>
      <c r="H57" s="52">
        <f>IF(Sheet1!$A135="yes",HLOOKUP(H$48,Sheet1!$C$129:$M$184,Sheet1!$B140,FALSE),"")</f>
        <v>74.92311680127402</v>
      </c>
      <c r="I57" s="52">
        <f>IF(Sheet1!$A135="yes",HLOOKUP(I$48,Sheet1!$C$129:$M$184,Sheet1!$B140,FALSE),"")</f>
        <v>77.23684380049089</v>
      </c>
      <c r="J57" s="52">
        <f>IF(Sheet1!$A135="yes",HLOOKUP(J$48,Sheet1!$C$129:$M$184,Sheet1!$B140,FALSE),"")</f>
        <v>71.789272448913</v>
      </c>
      <c r="K57" s="52">
        <f>IF(Sheet1!$A135="yes",Sheet1!L140,"")</f>
        <v>71.75957941789072</v>
      </c>
      <c r="L57" s="52">
        <f>IF(Sheet1!$A135="yes",Sheet1!M140,"")</f>
        <v>138.66564659613078</v>
      </c>
      <c r="M57" s="71">
        <f>IF(Sheet1!$A135="yes",Sheet1!O140,"")</f>
        <v>0.03348564766377171</v>
      </c>
      <c r="N57" s="50"/>
      <c r="O57" s="50"/>
      <c r="P57" s="50"/>
      <c r="Q57" s="50"/>
      <c r="R57" s="50"/>
      <c r="S57" s="50"/>
      <c r="AH57" s="50"/>
      <c r="AI57" s="50"/>
      <c r="AJ57" s="50"/>
      <c r="AK57" s="50"/>
      <c r="AL57" s="50"/>
      <c r="AM57" s="50"/>
      <c r="AN57" s="50"/>
      <c r="AO57" s="50"/>
      <c r="AP57" s="50"/>
    </row>
    <row r="58" spans="2:42" ht="12.75">
      <c r="B58" s="20" t="str">
        <f>IF(Sheet1!$A136="yes",Sheet1!C141,"")</f>
        <v>Within North America</v>
      </c>
      <c r="C58" s="20"/>
      <c r="D58" s="52">
        <f>IF(Sheet1!$A136="yes",HLOOKUP(D$48,Sheet1!$C$129:$M$184,Sheet1!$B141,FALSE),"")</f>
        <v>828.273</v>
      </c>
      <c r="E58" s="52">
        <f>IF(Sheet1!$A136="yes",HLOOKUP(E$48,Sheet1!$C$129:$M$184,Sheet1!$B141,FALSE),"")</f>
        <v>927.725</v>
      </c>
      <c r="F58" s="52">
        <f>IF(Sheet1!$A136="yes",HLOOKUP(F$48,Sheet1!$C$129:$M$184,Sheet1!$B141,FALSE),"")</f>
        <v>972.256</v>
      </c>
      <c r="G58" s="52">
        <f>IF(Sheet1!$A136="yes",HLOOKUP(G$48,Sheet1!$C$129:$M$184,Sheet1!$B141,FALSE),"")</f>
        <v>977.3648519713714</v>
      </c>
      <c r="H58" s="52">
        <f>IF(Sheet1!$A136="yes",HLOOKUP(H$48,Sheet1!$C$129:$M$184,Sheet1!$B141,FALSE),"")</f>
        <v>1022.412789897166</v>
      </c>
      <c r="I58" s="52">
        <f>IF(Sheet1!$A136="yes",HLOOKUP(I$48,Sheet1!$C$129:$M$184,Sheet1!$B141,FALSE),"")</f>
        <v>974.068885584245</v>
      </c>
      <c r="J58" s="52">
        <f>IF(Sheet1!$A136="yes",HLOOKUP(J$48,Sheet1!$C$129:$M$184,Sheet1!$B141,FALSE),"")</f>
        <v>898.0632913763002</v>
      </c>
      <c r="K58" s="52">
        <f>IF(Sheet1!$A136="yes",Sheet1!L141,"")</f>
        <v>918.0361774669062</v>
      </c>
      <c r="L58" s="52">
        <f>IF(Sheet1!$A136="yes",Sheet1!M141,"")</f>
        <v>1444.6256603738632</v>
      </c>
      <c r="M58" s="71">
        <f>IF(Sheet1!$A136="yes",Sheet1!O141,"")</f>
        <v>0.02292731690691774</v>
      </c>
      <c r="N58" s="50"/>
      <c r="O58" s="50"/>
      <c r="P58" s="50"/>
      <c r="Q58" s="50"/>
      <c r="R58" s="50"/>
      <c r="S58" s="50"/>
      <c r="AH58" s="50"/>
      <c r="AI58" s="50"/>
      <c r="AJ58" s="50"/>
      <c r="AK58" s="50"/>
      <c r="AL58" s="50"/>
      <c r="AM58" s="50"/>
      <c r="AN58" s="50"/>
      <c r="AO58" s="50"/>
      <c r="AP58" s="50"/>
    </row>
    <row r="59" spans="2:13" ht="12.75">
      <c r="B59" s="20" t="str">
        <f>IF(Sheet1!$A137="yes",Sheet1!C142,"")</f>
        <v>Within Middle East</v>
      </c>
      <c r="C59" s="20"/>
      <c r="D59" s="52">
        <f>IF(Sheet1!$A137="yes",HLOOKUP(D$48,Sheet1!$C$129:$M$184,Sheet1!$B142,FALSE),"")</f>
        <v>34.94670724155998</v>
      </c>
      <c r="E59" s="52">
        <f>IF(Sheet1!$A137="yes",HLOOKUP(E$48,Sheet1!$C$129:$M$184,Sheet1!$B142,FALSE),"")</f>
        <v>40.831611550843746</v>
      </c>
      <c r="F59" s="52">
        <f>IF(Sheet1!$A137="yes",HLOOKUP(F$48,Sheet1!$C$129:$M$184,Sheet1!$B142,FALSE),"")</f>
        <v>48.720100011125986</v>
      </c>
      <c r="G59" s="52">
        <f>IF(Sheet1!$A137="yes",HLOOKUP(G$48,Sheet1!$C$129:$M$184,Sheet1!$B142,FALSE),"")</f>
        <v>53.67911301730273</v>
      </c>
      <c r="H59" s="52">
        <f>IF(Sheet1!$A137="yes",HLOOKUP(H$48,Sheet1!$C$129:$M$184,Sheet1!$B142,FALSE),"")</f>
        <v>60.267899795179154</v>
      </c>
      <c r="I59" s="52">
        <f>IF(Sheet1!$A137="yes",HLOOKUP(I$48,Sheet1!$C$129:$M$184,Sheet1!$B142,FALSE),"")</f>
        <v>63.365152658570146</v>
      </c>
      <c r="J59" s="52">
        <f>IF(Sheet1!$A137="yes",HLOOKUP(J$48,Sheet1!$C$129:$M$184,Sheet1!$B142,FALSE),"")</f>
        <v>68.59308578061369</v>
      </c>
      <c r="K59" s="52">
        <f>IF(Sheet1!$A137="yes",Sheet1!L142,"")</f>
        <v>77.04223583423256</v>
      </c>
      <c r="L59" s="52">
        <f>IF(Sheet1!$A137="yes",Sheet1!M142,"")</f>
        <v>205.28045741449964</v>
      </c>
      <c r="M59" s="71">
        <f>IF(Sheet1!$A137="yes",Sheet1!O142,"")</f>
        <v>0.05022157636421776</v>
      </c>
    </row>
    <row r="60" spans="2:13" ht="12.75">
      <c r="B60" s="20" t="str">
        <f>IF(Sheet1!$A138="yes",Sheet1!C143,"")</f>
        <v>Within Europe</v>
      </c>
      <c r="C60" s="20"/>
      <c r="D60" s="52">
        <f>IF(Sheet1!$A138="yes",HLOOKUP(D$48,Sheet1!$C$129:$M$184,Sheet1!$B143,FALSE),"")</f>
        <v>474.7</v>
      </c>
      <c r="E60" s="52">
        <f>IF(Sheet1!$A138="yes",HLOOKUP(E$48,Sheet1!$C$129:$M$184,Sheet1!$B143,FALSE),"")</f>
        <v>521.221</v>
      </c>
      <c r="F60" s="52">
        <f>IF(Sheet1!$A138="yes",HLOOKUP(F$48,Sheet1!$C$129:$M$184,Sheet1!$B143,FALSE),"")</f>
        <v>561.876</v>
      </c>
      <c r="G60" s="52">
        <f>IF(Sheet1!$A138="yes",HLOOKUP(G$48,Sheet1!$C$129:$M$184,Sheet1!$B143,FALSE),"")</f>
        <v>593.3216850078251</v>
      </c>
      <c r="H60" s="52">
        <f>IF(Sheet1!$A138="yes",HLOOKUP(H$48,Sheet1!$C$129:$M$184,Sheet1!$B143,FALSE),"")</f>
        <v>634.2140393719126</v>
      </c>
      <c r="I60" s="52">
        <f>IF(Sheet1!$A138="yes",HLOOKUP(I$48,Sheet1!$C$129:$M$184,Sheet1!$B143,FALSE),"")</f>
        <v>660.5464567666253</v>
      </c>
      <c r="J60" s="52">
        <f>IF(Sheet1!$A138="yes",HLOOKUP(J$48,Sheet1!$C$129:$M$184,Sheet1!$B143,FALSE),"")</f>
        <v>624.9227740997529</v>
      </c>
      <c r="K60" s="52">
        <f>IF(Sheet1!$A138="yes",Sheet1!L143,"")</f>
        <v>644.133413598509</v>
      </c>
      <c r="L60" s="52">
        <f>IF(Sheet1!$A138="yes",Sheet1!M143,"")</f>
        <v>1412.35</v>
      </c>
      <c r="M60" s="71">
        <f>IF(Sheet1!$A138="yes",Sheet1!O143,"")</f>
        <v>0.04003588743137754</v>
      </c>
    </row>
    <row r="61" spans="2:13" ht="12.75">
      <c r="B61" s="20" t="str">
        <f>IF(Sheet1!$A139="yes",Sheet1!C144,"")</f>
        <v>Within China</v>
      </c>
      <c r="C61" s="20"/>
      <c r="D61" s="52">
        <f>IF(Sheet1!$A139="yes",HLOOKUP(D$48,Sheet1!$C$129:$M$184,Sheet1!$B144,FALSE),"")</f>
        <v>105.10965175534852</v>
      </c>
      <c r="E61" s="52">
        <f>IF(Sheet1!$A139="yes",HLOOKUP(E$48,Sheet1!$C$129:$M$184,Sheet1!$B144,FALSE),"")</f>
        <v>142.44658484862143</v>
      </c>
      <c r="F61" s="52">
        <f>IF(Sheet1!$A139="yes",HLOOKUP(F$48,Sheet1!$C$129:$M$184,Sheet1!$B144,FALSE),"")</f>
        <v>164.2064181326608</v>
      </c>
      <c r="G61" s="52">
        <f>IF(Sheet1!$A139="yes",HLOOKUP(G$48,Sheet1!$C$129:$M$184,Sheet1!$B144,FALSE),"")</f>
        <v>189.78622102161594</v>
      </c>
      <c r="H61" s="52">
        <f>IF(Sheet1!$A139="yes",HLOOKUP(H$48,Sheet1!$C$129:$M$184,Sheet1!$B144,FALSE),"")</f>
        <v>223.11580020000002</v>
      </c>
      <c r="I61" s="52">
        <f>IF(Sheet1!$A139="yes",HLOOKUP(I$48,Sheet1!$C$129:$M$184,Sheet1!$B144,FALSE),"")</f>
        <v>236.53385989999998</v>
      </c>
      <c r="J61" s="52">
        <f>IF(Sheet1!$A139="yes",HLOOKUP(J$48,Sheet1!$C$129:$M$184,Sheet1!$B144,FALSE),"")</f>
        <v>287.3610907759881</v>
      </c>
      <c r="K61" s="52">
        <f>IF(Sheet1!$A139="yes",Sheet1!L144,"")</f>
        <v>335.440094</v>
      </c>
      <c r="L61" s="52">
        <f>IF(Sheet1!$A139="yes",Sheet1!M144,"")</f>
        <v>1411.81</v>
      </c>
      <c r="M61" s="71">
        <f>IF(Sheet1!$A139="yes",Sheet1!O144,"")</f>
        <v>0.07450406822547673</v>
      </c>
    </row>
    <row r="62" spans="2:13" ht="12.75">
      <c r="B62" s="20" t="str">
        <f>IF(Sheet1!$A140="yes",Sheet1!C145,"")</f>
        <v>Within Central America</v>
      </c>
      <c r="C62" s="20"/>
      <c r="D62" s="52">
        <f>IF(Sheet1!$A140="yes",HLOOKUP(D$48,Sheet1!$C$129:$M$184,Sheet1!$B145,FALSE),"")</f>
        <v>25.662054048587148</v>
      </c>
      <c r="E62" s="52">
        <f>IF(Sheet1!$A140="yes",HLOOKUP(E$48,Sheet1!$C$129:$M$184,Sheet1!$B145,FALSE),"")</f>
        <v>26.87470739852119</v>
      </c>
      <c r="F62" s="52">
        <f>IF(Sheet1!$A140="yes",HLOOKUP(F$48,Sheet1!$C$129:$M$184,Sheet1!$B145,FALSE),"")</f>
        <v>26.64960697111888</v>
      </c>
      <c r="G62" s="52">
        <f>IF(Sheet1!$A140="yes",HLOOKUP(G$48,Sheet1!$C$129:$M$184,Sheet1!$B145,FALSE),"")</f>
        <v>28.182735727062973</v>
      </c>
      <c r="H62" s="52">
        <f>IF(Sheet1!$A140="yes",HLOOKUP(H$48,Sheet1!$C$129:$M$184,Sheet1!$B145,FALSE),"")</f>
        <v>29.675205908849104</v>
      </c>
      <c r="I62" s="52">
        <f>IF(Sheet1!$A140="yes",HLOOKUP(I$48,Sheet1!$C$129:$M$184,Sheet1!$B145,FALSE),"")</f>
        <v>32.29304360166759</v>
      </c>
      <c r="J62" s="52">
        <f>IF(Sheet1!$A140="yes",HLOOKUP(J$48,Sheet1!$C$129:$M$184,Sheet1!$B145,FALSE),"")</f>
        <v>29.797370305853896</v>
      </c>
      <c r="K62" s="52">
        <f>IF(Sheet1!$A140="yes",Sheet1!L145,"")</f>
        <v>32.389642281340144</v>
      </c>
      <c r="L62" s="52">
        <f>IF(Sheet1!$A140="yes",Sheet1!M145,"")</f>
        <v>84.94592833168048</v>
      </c>
      <c r="M62" s="71">
        <f>IF(Sheet1!$A140="yes",Sheet1!O145,"")</f>
        <v>0.04938975698100312</v>
      </c>
    </row>
    <row r="63" spans="2:13" ht="12.75">
      <c r="B63" s="20" t="str">
        <f>IF(Sheet1!$A141="yes",Sheet1!C146,"")</f>
        <v>Within Africa</v>
      </c>
      <c r="C63" s="20"/>
      <c r="D63" s="52">
        <f>IF(Sheet1!$A141="yes",HLOOKUP(D$48,Sheet1!$C$129:$M$184,Sheet1!$B146,FALSE),"")</f>
        <v>26.67396563902321</v>
      </c>
      <c r="E63" s="52">
        <f>IF(Sheet1!$A141="yes",HLOOKUP(E$48,Sheet1!$C$129:$M$184,Sheet1!$B146,FALSE),"")</f>
        <v>29.481166963285247</v>
      </c>
      <c r="F63" s="52">
        <f>IF(Sheet1!$A141="yes",HLOOKUP(F$48,Sheet1!$C$129:$M$184,Sheet1!$B146,FALSE),"")</f>
        <v>35.97304281781172</v>
      </c>
      <c r="G63" s="52">
        <f>IF(Sheet1!$A141="yes",HLOOKUP(G$48,Sheet1!$C$129:$M$184,Sheet1!$B146,FALSE),"")</f>
        <v>35.56006928196569</v>
      </c>
      <c r="H63" s="52">
        <f>IF(Sheet1!$A141="yes",HLOOKUP(H$48,Sheet1!$C$129:$M$184,Sheet1!$B146,FALSE),"")</f>
        <v>37.30992457523483</v>
      </c>
      <c r="I63" s="52">
        <f>IF(Sheet1!$A141="yes",HLOOKUP(I$48,Sheet1!$C$129:$M$184,Sheet1!$B146,FALSE),"")</f>
        <v>41.58163231681399</v>
      </c>
      <c r="J63" s="52">
        <f>IF(Sheet1!$A141="yes",HLOOKUP(J$48,Sheet1!$C$129:$M$184,Sheet1!$B146,FALSE),"")</f>
        <v>43.87738013235306</v>
      </c>
      <c r="K63" s="52">
        <f>IF(Sheet1!$A141="yes",Sheet1!L146,"")</f>
        <v>49.963499451573945</v>
      </c>
      <c r="L63" s="52">
        <f>IF(Sheet1!$A141="yes",Sheet1!M146,"")</f>
        <v>136.18527158031347</v>
      </c>
      <c r="M63" s="71">
        <f>IF(Sheet1!$A141="yes",Sheet1!O146,"")</f>
        <v>0.05141426411226524</v>
      </c>
    </row>
    <row r="64" spans="2:13" ht="12.75">
      <c r="B64" s="20" t="str">
        <f>IF(Sheet1!$A142="yes",Sheet1!C147,"")</f>
        <v>Southeast Asia to and from South Asia </v>
      </c>
      <c r="C64" s="20"/>
      <c r="D64" s="52">
        <f>IF(Sheet1!$A142="yes",HLOOKUP(D$48,Sheet1!$C$129:$M$184,Sheet1!$B147,FALSE),"")</f>
        <v>12.12312903529932</v>
      </c>
      <c r="E64" s="52">
        <f>IF(Sheet1!$A142="yes",HLOOKUP(E$48,Sheet1!$C$129:$M$184,Sheet1!$B147,FALSE),"")</f>
        <v>15.376046469986827</v>
      </c>
      <c r="F64" s="52">
        <f>IF(Sheet1!$A142="yes",HLOOKUP(F$48,Sheet1!$C$129:$M$184,Sheet1!$B147,FALSE),"")</f>
        <v>20.693220603504873</v>
      </c>
      <c r="G64" s="52">
        <f>IF(Sheet1!$A142="yes",HLOOKUP(G$48,Sheet1!$C$129:$M$184,Sheet1!$B147,FALSE),"")</f>
        <v>19.732687396726426</v>
      </c>
      <c r="H64" s="52">
        <f>IF(Sheet1!$A142="yes",HLOOKUP(H$48,Sheet1!$C$129:$M$184,Sheet1!$B147,FALSE),"")</f>
        <v>22.594723197097572</v>
      </c>
      <c r="I64" s="52">
        <f>IF(Sheet1!$A142="yes",HLOOKUP(I$48,Sheet1!$C$129:$M$184,Sheet1!$B147,FALSE),"")</f>
        <v>21.4915328781602</v>
      </c>
      <c r="J64" s="52">
        <f>IF(Sheet1!$A142="yes",HLOOKUP(J$48,Sheet1!$C$129:$M$184,Sheet1!$B147,FALSE),"")</f>
        <v>22.274856444262124</v>
      </c>
      <c r="K64" s="52">
        <f>IF(Sheet1!$A142="yes",Sheet1!L147,"")</f>
        <v>28.93723105787422</v>
      </c>
      <c r="L64" s="52">
        <f>IF(Sheet1!$A142="yes",Sheet1!M147,"")</f>
        <v>148.8977927474241</v>
      </c>
      <c r="M64" s="71">
        <f>IF(Sheet1!$A142="yes",Sheet1!O147,"")</f>
        <v>0.08535438295366071</v>
      </c>
    </row>
    <row r="65" spans="2:13" ht="12.75">
      <c r="B65" s="20" t="str">
        <f>IF(Sheet1!$A143="yes",Sheet1!C148,"")</f>
        <v>Rest of World</v>
      </c>
      <c r="C65" s="20"/>
      <c r="D65" s="52">
        <f>IF(Sheet1!$A143="yes",HLOOKUP(D$48,Sheet1!$C$129:$M$184,Sheet1!$B148,FALSE),"")</f>
        <v>15.24106906584575</v>
      </c>
      <c r="E65" s="52">
        <f>IF(Sheet1!$A143="yes",HLOOKUP(E$48,Sheet1!$C$129:$M$184,Sheet1!$B148,FALSE),"")</f>
        <v>26.384014652108586</v>
      </c>
      <c r="F65" s="52">
        <f>IF(Sheet1!$A143="yes",HLOOKUP(F$48,Sheet1!$C$129:$M$184,Sheet1!$B148,FALSE),"")</f>
        <v>31.22984560112309</v>
      </c>
      <c r="G65" s="52">
        <f>IF(Sheet1!$A143="yes",HLOOKUP(G$48,Sheet1!$C$129:$M$184,Sheet1!$B148,FALSE),"")</f>
        <v>37.768221299534495</v>
      </c>
      <c r="H65" s="52">
        <f>IF(Sheet1!$A143="yes",HLOOKUP(H$48,Sheet1!$C$129:$M$184,Sheet1!$B148,FALSE),"")</f>
        <v>43.220071799728565</v>
      </c>
      <c r="I65" s="52">
        <f>IF(Sheet1!$A143="yes",HLOOKUP(I$48,Sheet1!$C$129:$M$184,Sheet1!$B148,FALSE),"")</f>
        <v>52.397079306641494</v>
      </c>
      <c r="J65" s="52">
        <f>IF(Sheet1!$A143="yes",HLOOKUP(J$48,Sheet1!$C$129:$M$184,Sheet1!$B148,FALSE),"")</f>
        <v>69.01142145946453</v>
      </c>
      <c r="K65" s="52">
        <f>IF(Sheet1!$A143="yes",Sheet1!L148,"")</f>
        <v>87.91855988062635</v>
      </c>
      <c r="L65" s="52">
        <f>IF(Sheet1!$A143="yes",Sheet1!M148,"")</f>
        <v>421.81338487134974</v>
      </c>
      <c r="M65" s="71">
        <f>IF(Sheet1!$A143="yes",Sheet1!O148,"")</f>
        <v>0.08156341788230215</v>
      </c>
    </row>
    <row r="66" spans="2:13" ht="12.75">
      <c r="B66" s="20" t="str">
        <f>IF(Sheet1!$A144="yes",Sheet1!C149,"")</f>
        <v>Oceania (Australasia) to and from Southeast Asia</v>
      </c>
      <c r="C66" s="20"/>
      <c r="D66" s="52">
        <f>IF(Sheet1!$A144="yes",HLOOKUP(D$48,Sheet1!$C$129:$M$184,Sheet1!$B149,FALSE),"")</f>
        <v>43.89581727896398</v>
      </c>
      <c r="E66" s="52">
        <f>IF(Sheet1!$A144="yes",HLOOKUP(E$48,Sheet1!$C$129:$M$184,Sheet1!$B149,FALSE),"")</f>
        <v>50.98239509918473</v>
      </c>
      <c r="F66" s="52">
        <f>IF(Sheet1!$A144="yes",HLOOKUP(F$48,Sheet1!$C$129:$M$184,Sheet1!$B149,FALSE),"")</f>
        <v>56.66303738398949</v>
      </c>
      <c r="G66" s="52">
        <f>IF(Sheet1!$A144="yes",HLOOKUP(G$48,Sheet1!$C$129:$M$184,Sheet1!$B149,FALSE),"")</f>
        <v>53.764444492451204</v>
      </c>
      <c r="H66" s="52">
        <f>IF(Sheet1!$A144="yes",HLOOKUP(H$48,Sheet1!$C$129:$M$184,Sheet1!$B149,FALSE),"")</f>
        <v>58.07383911683267</v>
      </c>
      <c r="I66" s="52">
        <f>IF(Sheet1!$A144="yes",HLOOKUP(I$48,Sheet1!$C$129:$M$184,Sheet1!$B149,FALSE),"")</f>
        <v>54.87995393027911</v>
      </c>
      <c r="J66" s="52">
        <f>IF(Sheet1!$A144="yes",HLOOKUP(J$48,Sheet1!$C$129:$M$184,Sheet1!$B149,FALSE),"")</f>
        <v>56.4454393257076</v>
      </c>
      <c r="K66" s="52">
        <f>IF(Sheet1!$A144="yes",Sheet1!L149,"")</f>
        <v>62.43271579848792</v>
      </c>
      <c r="L66" s="52">
        <f>IF(Sheet1!$A144="yes",Sheet1!M149,"")</f>
        <v>195.0264060157461</v>
      </c>
      <c r="M66" s="71">
        <f>IF(Sheet1!$A144="yes",Sheet1!O149,"")</f>
        <v>0.058605289117633186</v>
      </c>
    </row>
    <row r="67" spans="2:13" ht="12.75">
      <c r="B67" s="20" t="str">
        <f>IF(Sheet1!$A145="yes",Sheet1!C150,"")</f>
        <v>Northeast Asia to and from Southeast Asia</v>
      </c>
      <c r="C67" s="20"/>
      <c r="D67" s="52">
        <f>IF(Sheet1!$A145="yes",HLOOKUP(D$48,Sheet1!$C$129:$M$184,Sheet1!$B150,FALSE),"")</f>
        <v>55.99260279883175</v>
      </c>
      <c r="E67" s="52">
        <f>IF(Sheet1!$A145="yes",HLOOKUP(E$48,Sheet1!$C$129:$M$184,Sheet1!$B150,FALSE),"")</f>
        <v>66.2008276666929</v>
      </c>
      <c r="F67" s="52">
        <f>IF(Sheet1!$A145="yes",HLOOKUP(F$48,Sheet1!$C$129:$M$184,Sheet1!$B150,FALSE),"")</f>
        <v>70.95420001006374</v>
      </c>
      <c r="G67" s="52">
        <f>IF(Sheet1!$A145="yes",HLOOKUP(G$48,Sheet1!$C$129:$M$184,Sheet1!$B150,FALSE),"")</f>
        <v>77.02541347753967</v>
      </c>
      <c r="H67" s="52">
        <f>IF(Sheet1!$A145="yes",HLOOKUP(H$48,Sheet1!$C$129:$M$184,Sheet1!$B150,FALSE),"")</f>
        <v>85.7098530667497</v>
      </c>
      <c r="I67" s="52">
        <f>IF(Sheet1!$A145="yes",HLOOKUP(I$48,Sheet1!$C$129:$M$184,Sheet1!$B150,FALSE),"")</f>
        <v>84.04959863517806</v>
      </c>
      <c r="J67" s="52">
        <f>IF(Sheet1!$A145="yes",HLOOKUP(J$48,Sheet1!$C$129:$M$184,Sheet1!$B150,FALSE),"")</f>
        <v>70.20821424058694</v>
      </c>
      <c r="K67" s="52">
        <f>IF(Sheet1!$A145="yes",Sheet1!L150,"")</f>
        <v>74.07713225551775</v>
      </c>
      <c r="L67" s="52">
        <f>IF(Sheet1!$A145="yes",Sheet1!M150,"")</f>
        <v>236.68754166013989</v>
      </c>
      <c r="M67" s="71">
        <f>IF(Sheet1!$A145="yes",Sheet1!O150,"")</f>
        <v>0.059801578149871526</v>
      </c>
    </row>
    <row r="68" spans="2:13" ht="12.75">
      <c r="B68" s="20" t="str">
        <f>IF(Sheet1!$A146="yes",Sheet1!C151,"")</f>
        <v>Northeast Asia to and from Oceania (Australasia)</v>
      </c>
      <c r="C68" s="20"/>
      <c r="D68" s="52">
        <f>IF(Sheet1!$A146="yes",HLOOKUP(D$48,Sheet1!$C$129:$M$184,Sheet1!$B151,FALSE),"")</f>
        <v>17.847566632205414</v>
      </c>
      <c r="E68" s="52">
        <f>IF(Sheet1!$A146="yes",HLOOKUP(E$48,Sheet1!$C$129:$M$184,Sheet1!$B151,FALSE),"")</f>
        <v>20.26070234122723</v>
      </c>
      <c r="F68" s="52">
        <f>IF(Sheet1!$A146="yes",HLOOKUP(F$48,Sheet1!$C$129:$M$184,Sheet1!$B151,FALSE),"")</f>
        <v>18.999736475468413</v>
      </c>
      <c r="G68" s="52">
        <f>IF(Sheet1!$A146="yes",HLOOKUP(G$48,Sheet1!$C$129:$M$184,Sheet1!$B151,FALSE),"")</f>
        <v>19.592708781192268</v>
      </c>
      <c r="H68" s="52">
        <f>IF(Sheet1!$A146="yes",HLOOKUP(H$48,Sheet1!$C$129:$M$184,Sheet1!$B151,FALSE),"")</f>
        <v>20.806296805638347</v>
      </c>
      <c r="I68" s="52">
        <f>IF(Sheet1!$A146="yes",HLOOKUP(I$48,Sheet1!$C$129:$M$184,Sheet1!$B151,FALSE),"")</f>
        <v>19.536792784765716</v>
      </c>
      <c r="J68" s="52">
        <f>IF(Sheet1!$A146="yes",HLOOKUP(J$48,Sheet1!$C$129:$M$184,Sheet1!$B151,FALSE),"")</f>
        <v>12.886700797736646</v>
      </c>
      <c r="K68" s="52">
        <f>IF(Sheet1!$A146="yes",Sheet1!L151,"")</f>
        <v>16.14622950884951</v>
      </c>
      <c r="L68" s="52">
        <f>IF(Sheet1!$A146="yes",Sheet1!M151,"")</f>
        <v>31.282877546926798</v>
      </c>
      <c r="M68" s="71">
        <f>IF(Sheet1!$A146="yes",Sheet1!O151,"")</f>
        <v>0.03362208145868961</v>
      </c>
    </row>
    <row r="69" spans="2:13" ht="12.75">
      <c r="B69" s="20" t="str">
        <f>IF(Sheet1!$A147="yes",Sheet1!C152,"")</f>
        <v>North America to and from Southeast Asia</v>
      </c>
      <c r="C69" s="20"/>
      <c r="D69" s="52">
        <f>IF(Sheet1!$A147="yes",HLOOKUP(D$48,Sheet1!$C$129:$M$184,Sheet1!$B152,FALSE),"")</f>
        <v>24.659976313076648</v>
      </c>
      <c r="E69" s="52">
        <f>IF(Sheet1!$A147="yes",HLOOKUP(E$48,Sheet1!$C$129:$M$184,Sheet1!$B152,FALSE),"")</f>
        <v>29.675494279906598</v>
      </c>
      <c r="F69" s="52">
        <f>IF(Sheet1!$A147="yes",HLOOKUP(F$48,Sheet1!$C$129:$M$184,Sheet1!$B152,FALSE),"")</f>
        <v>35.26585352629312</v>
      </c>
      <c r="G69" s="52">
        <f>IF(Sheet1!$A147="yes",HLOOKUP(G$48,Sheet1!$C$129:$M$184,Sheet1!$B152,FALSE),"")</f>
        <v>34.12509697868524</v>
      </c>
      <c r="H69" s="52">
        <f>IF(Sheet1!$A147="yes",HLOOKUP(H$48,Sheet1!$C$129:$M$184,Sheet1!$B152,FALSE),"")</f>
        <v>38.30810913867642</v>
      </c>
      <c r="I69" s="52">
        <f>IF(Sheet1!$A147="yes",HLOOKUP(I$48,Sheet1!$C$129:$M$184,Sheet1!$B152,FALSE),"")</f>
        <v>38.590237492028436</v>
      </c>
      <c r="J69" s="52">
        <f>IF(Sheet1!$A147="yes",HLOOKUP(J$48,Sheet1!$C$129:$M$184,Sheet1!$B152,FALSE),"")</f>
        <v>30.08040756090162</v>
      </c>
      <c r="K69" s="52">
        <f>IF(Sheet1!$A147="yes",Sheet1!L152,"")</f>
        <v>30.73009622483833</v>
      </c>
      <c r="L69" s="52">
        <f>IF(Sheet1!$A147="yes",Sheet1!M152,"")</f>
        <v>105.47651024805947</v>
      </c>
      <c r="M69" s="71">
        <f>IF(Sheet1!$A147="yes",Sheet1!O152,"")</f>
        <v>0.06360309302119216</v>
      </c>
    </row>
    <row r="70" spans="2:13" ht="12.75">
      <c r="B70" s="20" t="str">
        <f>IF(Sheet1!$A148="yes",Sheet1!C153,"")</f>
        <v>North America to and from South America</v>
      </c>
      <c r="C70" s="20"/>
      <c r="D70" s="52">
        <f>IF(Sheet1!$A148="yes",HLOOKUP(D$48,Sheet1!$C$129:$M$184,Sheet1!$B153,FALSE),"")</f>
        <v>38.87545804997632</v>
      </c>
      <c r="E70" s="52">
        <f>IF(Sheet1!$A148="yes",HLOOKUP(E$48,Sheet1!$C$129:$M$184,Sheet1!$B153,FALSE),"")</f>
        <v>42.13140807077774</v>
      </c>
      <c r="F70" s="52">
        <f>IF(Sheet1!$A148="yes",HLOOKUP(F$48,Sheet1!$C$129:$M$184,Sheet1!$B153,FALSE),"")</f>
        <v>46.22589121048318</v>
      </c>
      <c r="G70" s="52">
        <f>IF(Sheet1!$A148="yes",HLOOKUP(G$48,Sheet1!$C$129:$M$184,Sheet1!$B153,FALSE),"")</f>
        <v>50.678983690477764</v>
      </c>
      <c r="H70" s="52">
        <f>IF(Sheet1!$A148="yes",HLOOKUP(H$48,Sheet1!$C$129:$M$184,Sheet1!$B153,FALSE),"")</f>
        <v>52.06295490521649</v>
      </c>
      <c r="I70" s="52">
        <f>IF(Sheet1!$A148="yes",HLOOKUP(I$48,Sheet1!$C$129:$M$184,Sheet1!$B153,FALSE),"")</f>
        <v>52.67790799886381</v>
      </c>
      <c r="J70" s="52">
        <f>IF(Sheet1!$A148="yes",HLOOKUP(J$48,Sheet1!$C$129:$M$184,Sheet1!$B153,FALSE),"")</f>
        <v>56.872818410515734</v>
      </c>
      <c r="K70" s="52">
        <f>IF(Sheet1!$A148="yes",Sheet1!L153,"")</f>
        <v>60.907076500193604</v>
      </c>
      <c r="L70" s="52">
        <f>IF(Sheet1!$A148="yes",Sheet1!M153,"")</f>
        <v>240.144855553956</v>
      </c>
      <c r="M70" s="71">
        <f>IF(Sheet1!$A148="yes",Sheet1!O153,"")</f>
        <v>0.07100198724829143</v>
      </c>
    </row>
    <row r="71" spans="2:13" ht="12.75">
      <c r="B71" s="20" t="str">
        <f>IF(Sheet1!$A149="yes",Sheet1!C154,"")</f>
        <v>North America to and from Oceania (Australasia)</v>
      </c>
      <c r="C71" s="20"/>
      <c r="D71" s="52">
        <f>IF(Sheet1!$A149="yes",HLOOKUP(D$48,Sheet1!$C$129:$M$184,Sheet1!$B154,FALSE),"")</f>
        <v>25.402678419079013</v>
      </c>
      <c r="E71" s="52">
        <f>IF(Sheet1!$A149="yes",HLOOKUP(E$48,Sheet1!$C$129:$M$184,Sheet1!$B154,FALSE),"")</f>
        <v>27.927143051356584</v>
      </c>
      <c r="F71" s="52">
        <f>IF(Sheet1!$A149="yes",HLOOKUP(F$48,Sheet1!$C$129:$M$184,Sheet1!$B154,FALSE),"")</f>
        <v>29.063039734273914</v>
      </c>
      <c r="G71" s="52">
        <f>IF(Sheet1!$A149="yes",HLOOKUP(G$48,Sheet1!$C$129:$M$184,Sheet1!$B154,FALSE),"")</f>
        <v>30.581932585357244</v>
      </c>
      <c r="H71" s="52">
        <f>IF(Sheet1!$A149="yes",HLOOKUP(H$48,Sheet1!$C$129:$M$184,Sheet1!$B154,FALSE),"")</f>
        <v>32.11413566008465</v>
      </c>
      <c r="I71" s="52">
        <f>IF(Sheet1!$A149="yes",HLOOKUP(I$48,Sheet1!$C$129:$M$184,Sheet1!$B154,FALSE),"")</f>
        <v>32.256683417325405</v>
      </c>
      <c r="J71" s="52">
        <f>IF(Sheet1!$A149="yes",HLOOKUP(J$48,Sheet1!$C$129:$M$184,Sheet1!$B154,FALSE),"")</f>
        <v>34.81040081941998</v>
      </c>
      <c r="K71" s="52">
        <f>IF(Sheet1!$A149="yes",Sheet1!L154,"")</f>
        <v>35.63807966124926</v>
      </c>
      <c r="L71" s="52">
        <f>IF(Sheet1!$A149="yes",Sheet1!M154,"")</f>
        <v>84.24253075315433</v>
      </c>
      <c r="M71" s="71">
        <f>IF(Sheet1!$A149="yes",Sheet1!O154,"")</f>
        <v>0.04395278098712918</v>
      </c>
    </row>
    <row r="72" spans="2:13" ht="12.75">
      <c r="B72" s="20" t="str">
        <f>IF(Sheet1!$A150="yes",Sheet1!C155,"")</f>
        <v>North America to and from Northeast Asia</v>
      </c>
      <c r="C72" s="20"/>
      <c r="D72" s="52">
        <f>IF(Sheet1!$A150="yes",HLOOKUP(D$48,Sheet1!$C$129:$M$184,Sheet1!$B155,FALSE),"")</f>
        <v>104.98529262734559</v>
      </c>
      <c r="E72" s="52">
        <f>IF(Sheet1!$A150="yes",HLOOKUP(E$48,Sheet1!$C$129:$M$184,Sheet1!$B155,FALSE),"")</f>
        <v>113.90472991377075</v>
      </c>
      <c r="F72" s="52">
        <f>IF(Sheet1!$A150="yes",HLOOKUP(F$48,Sheet1!$C$129:$M$184,Sheet1!$B155,FALSE),"")</f>
        <v>122.98649397586422</v>
      </c>
      <c r="G72" s="52">
        <f>IF(Sheet1!$A150="yes",HLOOKUP(G$48,Sheet1!$C$129:$M$184,Sheet1!$B155,FALSE),"")</f>
        <v>116.54842444647055</v>
      </c>
      <c r="H72" s="52">
        <f>IF(Sheet1!$A150="yes",HLOOKUP(H$48,Sheet1!$C$129:$M$184,Sheet1!$B155,FALSE),"")</f>
        <v>126.47316874915268</v>
      </c>
      <c r="I72" s="52">
        <f>IF(Sheet1!$A150="yes",HLOOKUP(I$48,Sheet1!$C$129:$M$184,Sheet1!$B155,FALSE),"")</f>
        <v>118.8068676775929</v>
      </c>
      <c r="J72" s="52">
        <f>IF(Sheet1!$A150="yes",HLOOKUP(J$48,Sheet1!$C$129:$M$184,Sheet1!$B155,FALSE),"")</f>
        <v>100.84508122163784</v>
      </c>
      <c r="K72" s="52">
        <f>IF(Sheet1!$A150="yes",Sheet1!L155,"")</f>
        <v>106.33698140675266</v>
      </c>
      <c r="L72" s="52">
        <f>IF(Sheet1!$A150="yes",Sheet1!M155,"")</f>
        <v>182.26502691480817</v>
      </c>
      <c r="M72" s="71">
        <f>IF(Sheet1!$A150="yes",Sheet1!O155,"")</f>
        <v>0.02730866394916065</v>
      </c>
    </row>
    <row r="73" spans="2:13" ht="12.75">
      <c r="B73" s="20" t="str">
        <f>IF(Sheet1!$A151="yes",Sheet1!C156,"")</f>
        <v>Middle East to and from Southeast Asia</v>
      </c>
      <c r="C73" s="20"/>
      <c r="D73" s="52">
        <f>IF(Sheet1!$A151="yes",HLOOKUP(D$48,Sheet1!$C$129:$M$184,Sheet1!$B156,FALSE),"")</f>
        <v>22.579620551545403</v>
      </c>
      <c r="E73" s="52">
        <f>IF(Sheet1!$A151="yes",HLOOKUP(E$48,Sheet1!$C$129:$M$184,Sheet1!$B156,FALSE),"")</f>
        <v>26.379624334564326</v>
      </c>
      <c r="F73" s="52">
        <f>IF(Sheet1!$A151="yes",HLOOKUP(F$48,Sheet1!$C$129:$M$184,Sheet1!$B156,FALSE),"")</f>
        <v>29.45681998472697</v>
      </c>
      <c r="G73" s="52">
        <f>IF(Sheet1!$A151="yes",HLOOKUP(G$48,Sheet1!$C$129:$M$184,Sheet1!$B156,FALSE),"")</f>
        <v>33.79091868448938</v>
      </c>
      <c r="H73" s="52">
        <f>IF(Sheet1!$A151="yes",HLOOKUP(H$48,Sheet1!$C$129:$M$184,Sheet1!$B156,FALSE),"")</f>
        <v>38.74496721762744</v>
      </c>
      <c r="I73" s="52">
        <f>IF(Sheet1!$A151="yes",HLOOKUP(I$48,Sheet1!$C$129:$M$184,Sheet1!$B156,FALSE),"")</f>
        <v>43.14117435061649</v>
      </c>
      <c r="J73" s="52">
        <f>IF(Sheet1!$A151="yes",HLOOKUP(J$48,Sheet1!$C$129:$M$184,Sheet1!$B156,FALSE),"")</f>
        <v>46.65934576301279</v>
      </c>
      <c r="K73" s="52">
        <f>IF(Sheet1!$A151="yes",Sheet1!L156,"")</f>
        <v>55.936887599174476</v>
      </c>
      <c r="L73" s="52">
        <f>IF(Sheet1!$A151="yes",Sheet1!M156,"")</f>
        <v>204.84589683821878</v>
      </c>
      <c r="M73" s="71">
        <f>IF(Sheet1!$A151="yes",Sheet1!O156,"")</f>
        <v>0.06705412384296028</v>
      </c>
    </row>
    <row r="74" spans="2:13" ht="12.75">
      <c r="B74" s="20" t="str">
        <f>IF(Sheet1!$A152="yes",Sheet1!C157,"")</f>
        <v>Middle East to and from South Asia </v>
      </c>
      <c r="C74" s="20"/>
      <c r="D74" s="52">
        <f>IF(Sheet1!$A152="yes",HLOOKUP(D$48,Sheet1!$C$129:$M$184,Sheet1!$B157,FALSE),"")</f>
        <v>32.80185261401043</v>
      </c>
      <c r="E74" s="52">
        <f>IF(Sheet1!$A152="yes",HLOOKUP(E$48,Sheet1!$C$129:$M$184,Sheet1!$B157,FALSE),"")</f>
        <v>34.33577973395771</v>
      </c>
      <c r="F74" s="52">
        <f>IF(Sheet1!$A152="yes",HLOOKUP(F$48,Sheet1!$C$129:$M$184,Sheet1!$B157,FALSE),"")</f>
        <v>36.05943991171085</v>
      </c>
      <c r="G74" s="52">
        <f>IF(Sheet1!$A152="yes",HLOOKUP(G$48,Sheet1!$C$129:$M$184,Sheet1!$B157,FALSE),"")</f>
        <v>41.965921796807926</v>
      </c>
      <c r="H74" s="52">
        <f>IF(Sheet1!$A152="yes",HLOOKUP(H$48,Sheet1!$C$129:$M$184,Sheet1!$B157,FALSE),"")</f>
        <v>46.4943381591965</v>
      </c>
      <c r="I74" s="52">
        <f>IF(Sheet1!$A152="yes",HLOOKUP(I$48,Sheet1!$C$129:$M$184,Sheet1!$B157,FALSE),"")</f>
        <v>49.459495245098545</v>
      </c>
      <c r="J74" s="52">
        <f>IF(Sheet1!$A152="yes",HLOOKUP(J$48,Sheet1!$C$129:$M$184,Sheet1!$B157,FALSE),"")</f>
        <v>64.81415180180927</v>
      </c>
      <c r="K74" s="52">
        <f>IF(Sheet1!$A152="yes",Sheet1!L157,"")</f>
        <v>74.94476880365505</v>
      </c>
      <c r="L74" s="52">
        <f>IF(Sheet1!$A152="yes",Sheet1!M157,"")</f>
        <v>289.9539866165176</v>
      </c>
      <c r="M74" s="71">
        <f>IF(Sheet1!$A152="yes",Sheet1!O157,"")</f>
        <v>0.06998918491078543</v>
      </c>
    </row>
    <row r="75" spans="2:13" ht="12.75">
      <c r="B75" s="20" t="str">
        <f>IF(Sheet1!$A153="yes",Sheet1!C158,"")</f>
        <v>Middle East to and from North America</v>
      </c>
      <c r="C75" s="20"/>
      <c r="D75" s="52">
        <f>IF(Sheet1!$A153="yes",HLOOKUP(D$48,Sheet1!$C$129:$M$184,Sheet1!$B158,FALSE),"")</f>
        <v>12.951647487696395</v>
      </c>
      <c r="E75" s="52">
        <f>IF(Sheet1!$A153="yes",HLOOKUP(E$48,Sheet1!$C$129:$M$184,Sheet1!$B158,FALSE),"")</f>
        <v>17.22672617482448</v>
      </c>
      <c r="F75" s="52">
        <f>IF(Sheet1!$A153="yes",HLOOKUP(F$48,Sheet1!$C$129:$M$184,Sheet1!$B158,FALSE),"")</f>
        <v>16.080726542778955</v>
      </c>
      <c r="G75" s="52">
        <f>IF(Sheet1!$A153="yes",HLOOKUP(G$48,Sheet1!$C$129:$M$184,Sheet1!$B158,FALSE),"")</f>
        <v>20.648271689384654</v>
      </c>
      <c r="H75" s="52">
        <f>IF(Sheet1!$A153="yes",HLOOKUP(H$48,Sheet1!$C$129:$M$184,Sheet1!$B158,FALSE),"")</f>
        <v>23.440113505383692</v>
      </c>
      <c r="I75" s="52">
        <f>IF(Sheet1!$A153="yes",HLOOKUP(I$48,Sheet1!$C$129:$M$184,Sheet1!$B158,FALSE),"")</f>
        <v>29.53583320992565</v>
      </c>
      <c r="J75" s="52">
        <f>IF(Sheet1!$A153="yes",HLOOKUP(J$48,Sheet1!$C$129:$M$184,Sheet1!$B158,FALSE),"")</f>
        <v>41.56050583474906</v>
      </c>
      <c r="K75" s="52">
        <f>IF(Sheet1!$A153="yes",Sheet1!L158,"")</f>
        <v>45.98368516973042</v>
      </c>
      <c r="L75" s="52">
        <f>IF(Sheet1!$A153="yes",Sheet1!M158,"")</f>
        <v>187.74078384381457</v>
      </c>
      <c r="M75" s="71">
        <f>IF(Sheet1!$A153="yes",Sheet1!O158,"")</f>
        <v>0.07287158384139825</v>
      </c>
    </row>
    <row r="76" spans="2:13" ht="12.75">
      <c r="B76" s="20" t="str">
        <f>IF(Sheet1!$A154="yes",Sheet1!C159,"")</f>
        <v>Europe to and from Southeast Asia</v>
      </c>
      <c r="C76" s="20"/>
      <c r="D76" s="52">
        <f>IF(Sheet1!$A154="yes",HLOOKUP(D$48,Sheet1!$C$129:$M$184,Sheet1!$B159,FALSE),"")</f>
        <v>92.43806426246391</v>
      </c>
      <c r="E76" s="52">
        <f>IF(Sheet1!$A154="yes",HLOOKUP(E$48,Sheet1!$C$129:$M$184,Sheet1!$B159,FALSE),"")</f>
        <v>100.69433223283693</v>
      </c>
      <c r="F76" s="52">
        <f>IF(Sheet1!$A154="yes",HLOOKUP(F$48,Sheet1!$C$129:$M$184,Sheet1!$B159,FALSE),"")</f>
        <v>100.34799086823884</v>
      </c>
      <c r="G76" s="52">
        <f>IF(Sheet1!$A154="yes",HLOOKUP(G$48,Sheet1!$C$129:$M$184,Sheet1!$B159,FALSE),"")</f>
        <v>97.58373692489167</v>
      </c>
      <c r="H76" s="52">
        <f>IF(Sheet1!$A154="yes",HLOOKUP(H$48,Sheet1!$C$129:$M$184,Sheet1!$B159,FALSE),"")</f>
        <v>92.42117789946344</v>
      </c>
      <c r="I76" s="52">
        <f>IF(Sheet1!$A154="yes",HLOOKUP(I$48,Sheet1!$C$129:$M$184,Sheet1!$B159,FALSE),"")</f>
        <v>99.98253302772405</v>
      </c>
      <c r="J76" s="52">
        <f>IF(Sheet1!$A154="yes",HLOOKUP(J$48,Sheet1!$C$129:$M$184,Sheet1!$B159,FALSE),"")</f>
        <v>98.45870155028474</v>
      </c>
      <c r="K76" s="52">
        <f>IF(Sheet1!$A154="yes",Sheet1!L159,"")</f>
        <v>100.12161888347417</v>
      </c>
      <c r="L76" s="52">
        <f>IF(Sheet1!$A154="yes",Sheet1!M159,"")</f>
        <v>273.8327718017406</v>
      </c>
      <c r="M76" s="71">
        <f>IF(Sheet1!$A154="yes",Sheet1!O159,"")</f>
        <v>0.051593463529114425</v>
      </c>
    </row>
    <row r="77" spans="2:13" ht="12.75">
      <c r="B77" s="20" t="str">
        <f>IF(Sheet1!$A155="yes",Sheet1!C160,"")</f>
        <v>Europe to and from South Asia </v>
      </c>
      <c r="C77" s="20"/>
      <c r="D77" s="52">
        <f>IF(Sheet1!$A155="yes",HLOOKUP(D$48,Sheet1!$C$129:$M$184,Sheet1!$B160,FALSE),"")</f>
        <v>33.21496765558738</v>
      </c>
      <c r="E77" s="52">
        <f>IF(Sheet1!$A155="yes",HLOOKUP(E$48,Sheet1!$C$129:$M$184,Sheet1!$B160,FALSE),"")</f>
        <v>37.674368663665106</v>
      </c>
      <c r="F77" s="52">
        <f>IF(Sheet1!$A155="yes",HLOOKUP(F$48,Sheet1!$C$129:$M$184,Sheet1!$B160,FALSE),"")</f>
        <v>43.416692458809415</v>
      </c>
      <c r="G77" s="52">
        <f>IF(Sheet1!$A155="yes",HLOOKUP(G$48,Sheet1!$C$129:$M$184,Sheet1!$B160,FALSE),"")</f>
        <v>53.255437553717606</v>
      </c>
      <c r="H77" s="52">
        <f>IF(Sheet1!$A155="yes",HLOOKUP(H$48,Sheet1!$C$129:$M$184,Sheet1!$B160,FALSE),"")</f>
        <v>58.50844411026603</v>
      </c>
      <c r="I77" s="52">
        <f>IF(Sheet1!$A155="yes",HLOOKUP(I$48,Sheet1!$C$129:$M$184,Sheet1!$B160,FALSE),"")</f>
        <v>55.48457793192856</v>
      </c>
      <c r="J77" s="52">
        <f>IF(Sheet1!$A155="yes",HLOOKUP(J$48,Sheet1!$C$129:$M$184,Sheet1!$B160,FALSE),"")</f>
        <v>51.2901736767294</v>
      </c>
      <c r="K77" s="52">
        <f>IF(Sheet1!$A155="yes",Sheet1!L160,"")</f>
        <v>54.737146211968415</v>
      </c>
      <c r="L77" s="52">
        <f>IF(Sheet1!$A155="yes",Sheet1!M160,"")</f>
        <v>205.9377030680748</v>
      </c>
      <c r="M77" s="71">
        <f>IF(Sheet1!$A155="yes",Sheet1!O160,"")</f>
        <v>0.06849547098388853</v>
      </c>
    </row>
    <row r="78" spans="2:13" ht="12.75">
      <c r="B78" s="20" t="str">
        <f>IF(Sheet1!$A156="yes",Sheet1!C161,"")</f>
        <v>Europe to and from South America</v>
      </c>
      <c r="C78" s="20"/>
      <c r="D78" s="52">
        <f>IF(Sheet1!$A156="yes",HLOOKUP(D$48,Sheet1!$C$129:$M$184,Sheet1!$B161,FALSE),"")</f>
        <v>48.091384267822875</v>
      </c>
      <c r="E78" s="52">
        <f>IF(Sheet1!$A156="yes",HLOOKUP(E$48,Sheet1!$C$129:$M$184,Sheet1!$B161,FALSE),"")</f>
        <v>54.97046961087781</v>
      </c>
      <c r="F78" s="52">
        <f>IF(Sheet1!$A156="yes",HLOOKUP(F$48,Sheet1!$C$129:$M$184,Sheet1!$B161,FALSE),"")</f>
        <v>63.88557365195657</v>
      </c>
      <c r="G78" s="52">
        <f>IF(Sheet1!$A156="yes",HLOOKUP(G$48,Sheet1!$C$129:$M$184,Sheet1!$B161,FALSE),"")</f>
        <v>67.36428600850067</v>
      </c>
      <c r="H78" s="52">
        <f>IF(Sheet1!$A156="yes",HLOOKUP(H$48,Sheet1!$C$129:$M$184,Sheet1!$B161,FALSE),"")</f>
        <v>70.74710969806362</v>
      </c>
      <c r="I78" s="52">
        <f>IF(Sheet1!$A156="yes",HLOOKUP(I$48,Sheet1!$C$129:$M$184,Sheet1!$B161,FALSE),"")</f>
        <v>75.16639756868686</v>
      </c>
      <c r="J78" s="52">
        <f>IF(Sheet1!$A156="yes",HLOOKUP(J$48,Sheet1!$C$129:$M$184,Sheet1!$B161,FALSE),"")</f>
        <v>79.33940816436589</v>
      </c>
      <c r="K78" s="52">
        <f>IF(Sheet1!$A156="yes",Sheet1!L161,"")</f>
        <v>81.85104922377269</v>
      </c>
      <c r="L78" s="52">
        <f>IF(Sheet1!$A156="yes",Sheet1!M161,"")</f>
        <v>220.92871430976933</v>
      </c>
      <c r="M78" s="71">
        <f>IF(Sheet1!$A156="yes",Sheet1!O161,"")</f>
        <v>0.05090000890194424</v>
      </c>
    </row>
    <row r="79" spans="2:13" ht="12.75">
      <c r="B79" s="20" t="str">
        <f>IF(Sheet1!$A157="yes",Sheet1!C162,"")</f>
        <v>Europe to and from Northeast Asia</v>
      </c>
      <c r="C79" s="20"/>
      <c r="D79" s="52">
        <f>IF(Sheet1!$A157="yes",HLOOKUP(D$48,Sheet1!$C$129:$M$184,Sheet1!$B162,FALSE),"")</f>
        <v>53.8595478743986</v>
      </c>
      <c r="E79" s="52">
        <f>IF(Sheet1!$A157="yes",HLOOKUP(E$48,Sheet1!$C$129:$M$184,Sheet1!$B162,FALSE),"")</f>
        <v>58.485969876299514</v>
      </c>
      <c r="F79" s="52">
        <f>IF(Sheet1!$A157="yes",HLOOKUP(F$48,Sheet1!$C$129:$M$184,Sheet1!$B162,FALSE),"")</f>
        <v>58.182548625936995</v>
      </c>
      <c r="G79" s="52">
        <f>IF(Sheet1!$A157="yes",HLOOKUP(G$48,Sheet1!$C$129:$M$184,Sheet1!$B162,FALSE),"")</f>
        <v>58.7773639540798</v>
      </c>
      <c r="H79" s="52">
        <f>IF(Sheet1!$A157="yes",HLOOKUP(H$48,Sheet1!$C$129:$M$184,Sheet1!$B162,FALSE),"")</f>
        <v>64.72624978130808</v>
      </c>
      <c r="I79" s="52">
        <f>IF(Sheet1!$A157="yes",HLOOKUP(I$48,Sheet1!$C$129:$M$184,Sheet1!$B162,FALSE),"")</f>
        <v>66.16444048936033</v>
      </c>
      <c r="J79" s="52">
        <f>IF(Sheet1!$A157="yes",HLOOKUP(J$48,Sheet1!$C$129:$M$184,Sheet1!$B162,FALSE),"")</f>
        <v>56.91473626944055</v>
      </c>
      <c r="K79" s="52">
        <f>IF(Sheet1!$A157="yes",Sheet1!L162,"")</f>
        <v>60.02763288571642</v>
      </c>
      <c r="L79" s="52">
        <f>IF(Sheet1!$A157="yes",Sheet1!M162,"")</f>
        <v>116.28237734694552</v>
      </c>
      <c r="M79" s="71">
        <f>IF(Sheet1!$A157="yes",Sheet1!O162,"")</f>
        <v>0.03361340770224097</v>
      </c>
    </row>
    <row r="80" spans="2:13" ht="12.75">
      <c r="B80" s="20" t="str">
        <f>IF(Sheet1!$A158="yes",Sheet1!C163,"")</f>
        <v>Europe to and from North America</v>
      </c>
      <c r="C80" s="20"/>
      <c r="D80" s="52">
        <f>IF(Sheet1!$A158="yes",HLOOKUP(D$48,Sheet1!$C$129:$M$184,Sheet1!$B163,FALSE),"")</f>
        <v>349.471</v>
      </c>
      <c r="E80" s="52">
        <f>IF(Sheet1!$A158="yes",HLOOKUP(E$48,Sheet1!$C$129:$M$184,Sheet1!$B163,FALSE),"")</f>
        <v>375.681</v>
      </c>
      <c r="F80" s="52">
        <f>IF(Sheet1!$A158="yes",HLOOKUP(F$48,Sheet1!$C$129:$M$184,Sheet1!$B163,FALSE),"")</f>
        <v>390.708</v>
      </c>
      <c r="G80" s="52">
        <f>IF(Sheet1!$A158="yes",HLOOKUP(G$48,Sheet1!$C$129:$M$184,Sheet1!$B163,FALSE),"")</f>
        <v>403.37463828329436</v>
      </c>
      <c r="H80" s="52">
        <f>IF(Sheet1!$A158="yes",HLOOKUP(H$48,Sheet1!$C$129:$M$184,Sheet1!$B163,FALSE),"")</f>
        <v>420.6086177733024</v>
      </c>
      <c r="I80" s="52">
        <f>IF(Sheet1!$A158="yes",HLOOKUP(I$48,Sheet1!$C$129:$M$184,Sheet1!$B163,FALSE),"")</f>
        <v>432.3757429542293</v>
      </c>
      <c r="J80" s="52">
        <f>IF(Sheet1!$A158="yes",HLOOKUP(J$48,Sheet1!$C$129:$M$184,Sheet1!$B163,FALSE),"")</f>
        <v>405.40065524713987</v>
      </c>
      <c r="K80" s="52">
        <f>IF(Sheet1!$A158="yes",Sheet1!L163,"")</f>
        <v>423.7829040449189</v>
      </c>
      <c r="L80" s="52">
        <f>IF(Sheet1!$A158="yes",Sheet1!M163,"")</f>
        <v>862.9823923075515</v>
      </c>
      <c r="M80" s="71">
        <f>IF(Sheet1!$A158="yes",Sheet1!O163,"")</f>
        <v>0.03619841848399119</v>
      </c>
    </row>
    <row r="81" spans="2:13" ht="12.75">
      <c r="B81" s="20" t="str">
        <f>IF(Sheet1!$A159="yes",Sheet1!C164,"")</f>
        <v>Europe to and from Middle East</v>
      </c>
      <c r="C81" s="20"/>
      <c r="D81" s="52">
        <f>IF(Sheet1!$A159="yes",HLOOKUP(D$48,Sheet1!$C$129:$M$184,Sheet1!$B164,FALSE),"")</f>
        <v>72.38796480778224</v>
      </c>
      <c r="E81" s="52">
        <f>IF(Sheet1!$A159="yes",HLOOKUP(E$48,Sheet1!$C$129:$M$184,Sheet1!$B164,FALSE),"")</f>
        <v>79.85010540940452</v>
      </c>
      <c r="F81" s="52">
        <f>IF(Sheet1!$A159="yes",HLOOKUP(F$48,Sheet1!$C$129:$M$184,Sheet1!$B164,FALSE),"")</f>
        <v>87.2800364941681</v>
      </c>
      <c r="G81" s="52">
        <f>IF(Sheet1!$A159="yes",HLOOKUP(G$48,Sheet1!$C$129:$M$184,Sheet1!$B164,FALSE),"")</f>
        <v>99.18410969823724</v>
      </c>
      <c r="H81" s="52">
        <f>IF(Sheet1!$A159="yes",HLOOKUP(H$48,Sheet1!$C$129:$M$184,Sheet1!$B164,FALSE),"")</f>
        <v>106.59329763454298</v>
      </c>
      <c r="I81" s="52">
        <f>IF(Sheet1!$A159="yes",HLOOKUP(I$48,Sheet1!$C$129:$M$184,Sheet1!$B164,FALSE),"")</f>
        <v>115.15353765186275</v>
      </c>
      <c r="J81" s="52">
        <f>IF(Sheet1!$A159="yes",HLOOKUP(J$48,Sheet1!$C$129:$M$184,Sheet1!$B164,FALSE),"")</f>
        <v>131.1603889149959</v>
      </c>
      <c r="K81" s="52">
        <f>IF(Sheet1!$A159="yes",Sheet1!L164,"")</f>
        <v>143.66550671058886</v>
      </c>
      <c r="L81" s="52">
        <f>IF(Sheet1!$A159="yes",Sheet1!M164,"")</f>
        <v>413.05317273598564</v>
      </c>
      <c r="M81" s="71">
        <f>IF(Sheet1!$A159="yes",Sheet1!O164,"")</f>
        <v>0.054223450727739264</v>
      </c>
    </row>
    <row r="82" spans="2:13" ht="12.75">
      <c r="B82" s="20" t="str">
        <f>IF(Sheet1!$A160="yes",Sheet1!C165,"")</f>
        <v>China to and from Southeast Asia</v>
      </c>
      <c r="C82" s="20"/>
      <c r="D82" s="52">
        <f>IF(Sheet1!$A160="yes",HLOOKUP(D$48,Sheet1!$C$129:$M$184,Sheet1!$B165,FALSE),"")</f>
        <v>36.182313897879204</v>
      </c>
      <c r="E82" s="52">
        <f>IF(Sheet1!$A160="yes",HLOOKUP(E$48,Sheet1!$C$129:$M$184,Sheet1!$B165,FALSE),"")</f>
        <v>49.235206094402976</v>
      </c>
      <c r="F82" s="52">
        <f>IF(Sheet1!$A160="yes",HLOOKUP(F$48,Sheet1!$C$129:$M$184,Sheet1!$B165,FALSE),"")</f>
        <v>55.8745662521389</v>
      </c>
      <c r="G82" s="52">
        <f>IF(Sheet1!$A160="yes",HLOOKUP(G$48,Sheet1!$C$129:$M$184,Sheet1!$B165,FALSE),"")</f>
        <v>52.936921137610945</v>
      </c>
      <c r="H82" s="52">
        <f>IF(Sheet1!$A160="yes",HLOOKUP(H$48,Sheet1!$C$129:$M$184,Sheet1!$B165,FALSE),"")</f>
        <v>57.46610590526096</v>
      </c>
      <c r="I82" s="52">
        <f>IF(Sheet1!$A160="yes",HLOOKUP(I$48,Sheet1!$C$129:$M$184,Sheet1!$B165,FALSE),"")</f>
        <v>58.741415779611316</v>
      </c>
      <c r="J82" s="52">
        <f>IF(Sheet1!$A160="yes",HLOOKUP(J$48,Sheet1!$C$129:$M$184,Sheet1!$B165,FALSE),"")</f>
        <v>53.95317149434556</v>
      </c>
      <c r="K82" s="52">
        <f>IF(Sheet1!$A160="yes",Sheet1!L165,"")</f>
        <v>65.6964148810183</v>
      </c>
      <c r="L82" s="52">
        <f>IF(Sheet1!$A160="yes",Sheet1!M165,"")</f>
        <v>322.4569884777229</v>
      </c>
      <c r="M82" s="71">
        <f>IF(Sheet1!$A160="yes",Sheet1!O165,"")</f>
        <v>0.08279565945001788</v>
      </c>
    </row>
    <row r="83" spans="2:13" ht="12.75">
      <c r="B83" s="20" t="str">
        <f>IF(Sheet1!$A161="yes",Sheet1!C166,"")</f>
        <v>China to and from Oceania (Australasia)</v>
      </c>
      <c r="C83" s="20"/>
      <c r="D83" s="52">
        <f>IF(Sheet1!$A161="yes",HLOOKUP(D$48,Sheet1!$C$129:$M$184,Sheet1!$B166,FALSE),"")</f>
        <v>10.278539249002643</v>
      </c>
      <c r="E83" s="52">
        <f>IF(Sheet1!$A161="yes",HLOOKUP(E$48,Sheet1!$C$129:$M$184,Sheet1!$B166,FALSE),"")</f>
        <v>15.361137791279246</v>
      </c>
      <c r="F83" s="52">
        <f>IF(Sheet1!$A161="yes",HLOOKUP(F$48,Sheet1!$C$129:$M$184,Sheet1!$B166,FALSE),"")</f>
        <v>17.554814110491996</v>
      </c>
      <c r="G83" s="52">
        <f>IF(Sheet1!$A161="yes",HLOOKUP(G$48,Sheet1!$C$129:$M$184,Sheet1!$B166,FALSE),"")</f>
        <v>19.263726838363084</v>
      </c>
      <c r="H83" s="52">
        <f>IF(Sheet1!$A161="yes",HLOOKUP(H$48,Sheet1!$C$129:$M$184,Sheet1!$B166,FALSE),"")</f>
        <v>19.403792959979988</v>
      </c>
      <c r="I83" s="52">
        <f>IF(Sheet1!$A161="yes",HLOOKUP(I$48,Sheet1!$C$129:$M$184,Sheet1!$B166,FALSE),"")</f>
        <v>21.373657528051943</v>
      </c>
      <c r="J83" s="52">
        <f>IF(Sheet1!$A161="yes",HLOOKUP(J$48,Sheet1!$C$129:$M$184,Sheet1!$B166,FALSE),"")</f>
        <v>22.787977807444776</v>
      </c>
      <c r="K83" s="52">
        <f>IF(Sheet1!$A161="yes",Sheet1!L166,"")</f>
        <v>27.734524910000346</v>
      </c>
      <c r="L83" s="52">
        <f>IF(Sheet1!$A161="yes",Sheet1!M166,"")</f>
        <v>110.26</v>
      </c>
      <c r="M83" s="71">
        <f>IF(Sheet1!$A161="yes",Sheet1!O166,"")</f>
        <v>0.07144495153672481</v>
      </c>
    </row>
    <row r="84" spans="2:13" ht="12.75">
      <c r="B84" s="20" t="str">
        <f>IF(Sheet1!$A162="yes",Sheet1!C167,"")</f>
        <v>China to and from Northeast Asia</v>
      </c>
      <c r="C84" s="20"/>
      <c r="D84" s="52">
        <f>IF(Sheet1!$A162="yes",HLOOKUP(D$48,Sheet1!$C$129:$M$184,Sheet1!$B167,FALSE),"")</f>
        <v>22.459617982839287</v>
      </c>
      <c r="E84" s="52">
        <f>IF(Sheet1!$A162="yes",HLOOKUP(E$48,Sheet1!$C$129:$M$184,Sheet1!$B167,FALSE),"")</f>
        <v>29.00812353683337</v>
      </c>
      <c r="F84" s="52">
        <f>IF(Sheet1!$A162="yes",HLOOKUP(F$48,Sheet1!$C$129:$M$184,Sheet1!$B167,FALSE),"")</f>
        <v>31.79250621165367</v>
      </c>
      <c r="G84" s="52">
        <f>IF(Sheet1!$A162="yes",HLOOKUP(G$48,Sheet1!$C$129:$M$184,Sheet1!$B167,FALSE),"")</f>
        <v>34.05116015108841</v>
      </c>
      <c r="H84" s="52">
        <f>IF(Sheet1!$A162="yes",HLOOKUP(H$48,Sheet1!$C$129:$M$184,Sheet1!$B167,FALSE),"")</f>
        <v>34.65151657649457</v>
      </c>
      <c r="I84" s="52">
        <f>IF(Sheet1!$A162="yes",HLOOKUP(I$48,Sheet1!$C$129:$M$184,Sheet1!$B167,FALSE),"")</f>
        <v>40.489635186228526</v>
      </c>
      <c r="J84" s="52">
        <f>IF(Sheet1!$A162="yes",HLOOKUP(J$48,Sheet1!$C$129:$M$184,Sheet1!$B167,FALSE),"")</f>
        <v>34.75470979327949</v>
      </c>
      <c r="K84" s="52">
        <f>IF(Sheet1!$A162="yes",Sheet1!L167,"")</f>
        <v>38.33009238880825</v>
      </c>
      <c r="L84" s="52">
        <f>IF(Sheet1!$A162="yes",Sheet1!M167,"")</f>
        <v>166.10487327478137</v>
      </c>
      <c r="M84" s="71">
        <f>IF(Sheet1!$A162="yes",Sheet1!O167,"")</f>
        <v>0.07607396845322745</v>
      </c>
    </row>
    <row r="85" spans="2:13" ht="12.75">
      <c r="B85" s="20" t="str">
        <f>IF(Sheet1!$A163="yes",Sheet1!C168,"")</f>
        <v>China to and from North America</v>
      </c>
      <c r="C85" s="20"/>
      <c r="D85" s="52">
        <f>IF(Sheet1!$A163="yes",HLOOKUP(D$48,Sheet1!$C$129:$M$184,Sheet1!$B168,FALSE),"")</f>
        <v>24.66375370032905</v>
      </c>
      <c r="E85" s="52">
        <f>IF(Sheet1!$A163="yes",HLOOKUP(E$48,Sheet1!$C$129:$M$184,Sheet1!$B168,FALSE),"")</f>
        <v>38.50516560239974</v>
      </c>
      <c r="F85" s="52">
        <f>IF(Sheet1!$A163="yes",HLOOKUP(F$48,Sheet1!$C$129:$M$184,Sheet1!$B168,FALSE),"")</f>
        <v>48.1421869304278</v>
      </c>
      <c r="G85" s="52">
        <f>IF(Sheet1!$A163="yes",HLOOKUP(G$48,Sheet1!$C$129:$M$184,Sheet1!$B168,FALSE),"")</f>
        <v>51.43625266101276</v>
      </c>
      <c r="H85" s="52">
        <f>IF(Sheet1!$A163="yes",HLOOKUP(H$48,Sheet1!$C$129:$M$184,Sheet1!$B168,FALSE),"")</f>
        <v>54.52287609528979</v>
      </c>
      <c r="I85" s="52">
        <f>IF(Sheet1!$A163="yes",HLOOKUP(I$48,Sheet1!$C$129:$M$184,Sheet1!$B168,FALSE),"")</f>
        <v>62.698036905404805</v>
      </c>
      <c r="J85" s="52">
        <f>IF(Sheet1!$A163="yes",HLOOKUP(J$48,Sheet1!$C$129:$M$184,Sheet1!$B168,FALSE),"")</f>
        <v>60.880879467200316</v>
      </c>
      <c r="K85" s="52">
        <f>IF(Sheet1!$A163="yes",Sheet1!L168,"")</f>
        <v>71.17612927204532</v>
      </c>
      <c r="L85" s="52">
        <f>IF(Sheet1!$A163="yes",Sheet1!M168,"")</f>
        <v>265.3</v>
      </c>
      <c r="M85" s="71">
        <f>IF(Sheet1!$A163="yes",Sheet1!O168,"")</f>
        <v>0.0679972739981991</v>
      </c>
    </row>
    <row r="86" spans="2:13" ht="12.75">
      <c r="B86" s="20" t="str">
        <f>IF(Sheet1!$A164="yes",Sheet1!C169,"")</f>
        <v>China to and from Europe</v>
      </c>
      <c r="C86" s="20"/>
      <c r="D86" s="52">
        <f>IF(Sheet1!$A164="yes",HLOOKUP(D$48,Sheet1!$C$129:$M$184,Sheet1!$B169,FALSE),"")</f>
        <v>36.18281642521868</v>
      </c>
      <c r="E86" s="52">
        <f>IF(Sheet1!$A164="yes",HLOOKUP(E$48,Sheet1!$C$129:$M$184,Sheet1!$B169,FALSE),"")</f>
        <v>55.2209752950506</v>
      </c>
      <c r="F86" s="52">
        <f>IF(Sheet1!$A164="yes",HLOOKUP(F$48,Sheet1!$C$129:$M$184,Sheet1!$B169,FALSE),"")</f>
        <v>63.102486780396696</v>
      </c>
      <c r="G86" s="52">
        <f>IF(Sheet1!$A164="yes",HLOOKUP(G$48,Sheet1!$C$129:$M$184,Sheet1!$B169,FALSE),"")</f>
        <v>75.27063049979711</v>
      </c>
      <c r="H86" s="52">
        <f>IF(Sheet1!$A164="yes",HLOOKUP(H$48,Sheet1!$C$129:$M$184,Sheet1!$B169,FALSE),"")</f>
        <v>91.03347985830406</v>
      </c>
      <c r="I86" s="52">
        <f>IF(Sheet1!$A164="yes",HLOOKUP(I$48,Sheet1!$C$129:$M$184,Sheet1!$B169,FALSE),"")</f>
        <v>82.5220300237579</v>
      </c>
      <c r="J86" s="52">
        <f>IF(Sheet1!$A164="yes",HLOOKUP(J$48,Sheet1!$C$129:$M$184,Sheet1!$B169,FALSE),"")</f>
        <v>77.32713863005219</v>
      </c>
      <c r="K86" s="52">
        <f>IF(Sheet1!$A164="yes",Sheet1!L169,"")</f>
        <v>82.38100077095103</v>
      </c>
      <c r="L86" s="52">
        <f>IF(Sheet1!$A164="yes",Sheet1!M169,"")</f>
        <v>340.3898060357486</v>
      </c>
      <c r="M86" s="71">
        <f>IF(Sheet1!$A164="yes",Sheet1!O169,"")</f>
        <v>0.07351341053236338</v>
      </c>
    </row>
    <row r="87" spans="2:13" ht="12.75">
      <c r="B87" s="20" t="str">
        <f>IF(Sheet1!$A165="yes",Sheet1!C170,"")</f>
        <v>Central America to and from South America</v>
      </c>
      <c r="C87" s="20"/>
      <c r="D87" s="52">
        <f>IF(Sheet1!$A165="yes",HLOOKUP(D$48,Sheet1!$C$129:$M$184,Sheet1!$B170,FALSE),"")</f>
        <v>7.095272029511192</v>
      </c>
      <c r="E87" s="52">
        <f>IF(Sheet1!$A165="yes",HLOOKUP(E$48,Sheet1!$C$129:$M$184,Sheet1!$B170,FALSE),"")</f>
        <v>9.382575941595732</v>
      </c>
      <c r="F87" s="52">
        <f>IF(Sheet1!$A165="yes",HLOOKUP(F$48,Sheet1!$C$129:$M$184,Sheet1!$B170,FALSE),"")</f>
        <v>10.221465493280721</v>
      </c>
      <c r="G87" s="52">
        <f>IF(Sheet1!$A165="yes",HLOOKUP(G$48,Sheet1!$C$129:$M$184,Sheet1!$B170,FALSE),"")</f>
        <v>10.333063870657845</v>
      </c>
      <c r="H87" s="52">
        <f>IF(Sheet1!$A165="yes",HLOOKUP(H$48,Sheet1!$C$129:$M$184,Sheet1!$B170,FALSE),"")</f>
        <v>11.013808842489361</v>
      </c>
      <c r="I87" s="52">
        <f>IF(Sheet1!$A165="yes",HLOOKUP(I$48,Sheet1!$C$129:$M$184,Sheet1!$B170,FALSE),"")</f>
        <v>13.08312221175063</v>
      </c>
      <c r="J87" s="52">
        <f>IF(Sheet1!$A165="yes",HLOOKUP(J$48,Sheet1!$C$129:$M$184,Sheet1!$B170,FALSE),"")</f>
        <v>13.970806486857544</v>
      </c>
      <c r="K87" s="52">
        <f>IF(Sheet1!$A165="yes",Sheet1!L170,"")</f>
        <v>17.949400487627983</v>
      </c>
      <c r="L87" s="52">
        <f>IF(Sheet1!$A165="yes",Sheet1!M170,"")</f>
        <v>75.86721800516321</v>
      </c>
      <c r="M87" s="71">
        <f>IF(Sheet1!$A165="yes",Sheet1!O170,"")</f>
        <v>0.07473207533556536</v>
      </c>
    </row>
    <row r="88" spans="2:13" ht="12.75">
      <c r="B88" s="20" t="str">
        <f>IF(Sheet1!$A166="yes",Sheet1!C171,"")</f>
        <v>Central America to and from North America</v>
      </c>
      <c r="C88" s="20"/>
      <c r="D88" s="52">
        <f>IF(Sheet1!$A166="yes",HLOOKUP(D$48,Sheet1!$C$129:$M$184,Sheet1!$B171,FALSE),"")</f>
        <v>79.93308497566309</v>
      </c>
      <c r="E88" s="52">
        <f>IF(Sheet1!$A166="yes",HLOOKUP(E$48,Sheet1!$C$129:$M$184,Sheet1!$B171,FALSE),"")</f>
        <v>92.88896301334698</v>
      </c>
      <c r="F88" s="52">
        <f>IF(Sheet1!$A166="yes",HLOOKUP(F$48,Sheet1!$C$129:$M$184,Sheet1!$B171,FALSE),"")</f>
        <v>100.5945682579375</v>
      </c>
      <c r="G88" s="52">
        <f>IF(Sheet1!$A166="yes",HLOOKUP(G$48,Sheet1!$C$129:$M$184,Sheet1!$B171,FALSE),"")</f>
        <v>104.9942388242721</v>
      </c>
      <c r="H88" s="52">
        <f>IF(Sheet1!$A166="yes",HLOOKUP(H$48,Sheet1!$C$129:$M$184,Sheet1!$B171,FALSE),"")</f>
        <v>106.82846681354962</v>
      </c>
      <c r="I88" s="52">
        <f>IF(Sheet1!$A166="yes",HLOOKUP(I$48,Sheet1!$C$129:$M$184,Sheet1!$B171,FALSE),"")</f>
        <v>115.76848920578348</v>
      </c>
      <c r="J88" s="52">
        <f>IF(Sheet1!$A166="yes",HLOOKUP(J$48,Sheet1!$C$129:$M$184,Sheet1!$B171,FALSE),"")</f>
        <v>104.6688655164181</v>
      </c>
      <c r="K88" s="52">
        <f>IF(Sheet1!$A166="yes",Sheet1!L171,"")</f>
        <v>111.67863934270287</v>
      </c>
      <c r="L88" s="52">
        <f>IF(Sheet1!$A166="yes",Sheet1!M171,"")</f>
        <v>249.66107217861878</v>
      </c>
      <c r="M88" s="71">
        <f>IF(Sheet1!$A166="yes",Sheet1!O171,"")</f>
        <v>0.041043881089594114</v>
      </c>
    </row>
    <row r="89" spans="2:13" ht="12.75">
      <c r="B89" s="20" t="str">
        <f>IF(Sheet1!$A167="yes",Sheet1!C172,"")</f>
        <v>Central America to and from Europe</v>
      </c>
      <c r="C89" s="20"/>
      <c r="D89" s="52">
        <f>IF(Sheet1!$A167="yes",HLOOKUP(D$48,Sheet1!$C$129:$M$184,Sheet1!$B172,FALSE),"")</f>
        <v>57.442230309022385</v>
      </c>
      <c r="E89" s="52">
        <f>IF(Sheet1!$A167="yes",HLOOKUP(E$48,Sheet1!$C$129:$M$184,Sheet1!$B172,FALSE),"")</f>
        <v>63.713796370461324</v>
      </c>
      <c r="F89" s="52">
        <f>IF(Sheet1!$A167="yes",HLOOKUP(F$48,Sheet1!$C$129:$M$184,Sheet1!$B172,FALSE),"")</f>
        <v>67.04870904689857</v>
      </c>
      <c r="G89" s="52">
        <f>IF(Sheet1!$A167="yes",HLOOKUP(G$48,Sheet1!$C$129:$M$184,Sheet1!$B172,FALSE),"")</f>
        <v>74.14699178901645</v>
      </c>
      <c r="H89" s="52">
        <f>IF(Sheet1!$A167="yes",HLOOKUP(H$48,Sheet1!$C$129:$M$184,Sheet1!$B172,FALSE),"")</f>
        <v>80.70715318592974</v>
      </c>
      <c r="I89" s="52">
        <f>IF(Sheet1!$A167="yes",HLOOKUP(I$48,Sheet1!$C$129:$M$184,Sheet1!$B172,FALSE),"")</f>
        <v>83.29337825269977</v>
      </c>
      <c r="J89" s="52">
        <f>IF(Sheet1!$A167="yes",HLOOKUP(J$48,Sheet1!$C$129:$M$184,Sheet1!$B172,FALSE),"")</f>
        <v>77.07782277686196</v>
      </c>
      <c r="K89" s="52">
        <f>IF(Sheet1!$A167="yes",Sheet1!L172,"")</f>
        <v>74.9108919152072</v>
      </c>
      <c r="L89" s="52">
        <f>IF(Sheet1!$A167="yes",Sheet1!M172,"")</f>
        <v>177.6095917022379</v>
      </c>
      <c r="M89" s="71">
        <f>IF(Sheet1!$A167="yes",Sheet1!O172,"")</f>
        <v>0.04410956038583369</v>
      </c>
    </row>
    <row r="90" spans="2:13" ht="12.75">
      <c r="B90" s="20" t="str">
        <f>IF(Sheet1!$A168="yes",Sheet1!C173,"")</f>
        <v>C.I.S region to and from International</v>
      </c>
      <c r="C90" s="20"/>
      <c r="D90" s="52">
        <f>IF(Sheet1!$A168="yes",HLOOKUP(D$48,Sheet1!$C$129:$M$184,Sheet1!$B173,FALSE),"")</f>
        <v>43.817522375494654</v>
      </c>
      <c r="E90" s="52">
        <f>IF(Sheet1!$A168="yes",HLOOKUP(E$48,Sheet1!$C$129:$M$184,Sheet1!$B173,FALSE),"")</f>
        <v>53.862076527966046</v>
      </c>
      <c r="F90" s="52">
        <f>IF(Sheet1!$A168="yes",HLOOKUP(F$48,Sheet1!$C$129:$M$184,Sheet1!$B173,FALSE),"")</f>
        <v>58.065972770489175</v>
      </c>
      <c r="G90" s="52">
        <f>IF(Sheet1!$A168="yes",HLOOKUP(G$48,Sheet1!$C$129:$M$184,Sheet1!$B173,FALSE),"")</f>
        <v>63.66147197203445</v>
      </c>
      <c r="H90" s="52">
        <f>IF(Sheet1!$A168="yes",HLOOKUP(H$48,Sheet1!$C$129:$M$184,Sheet1!$B173,FALSE),"")</f>
        <v>81.23972086103512</v>
      </c>
      <c r="I90" s="52">
        <f>IF(Sheet1!$A168="yes",HLOOKUP(I$48,Sheet1!$C$129:$M$184,Sheet1!$B173,FALSE),"")</f>
        <v>76.1698145742673</v>
      </c>
      <c r="J90" s="52">
        <f>IF(Sheet1!$A168="yes",HLOOKUP(J$48,Sheet1!$C$129:$M$184,Sheet1!$B173,FALSE),"")</f>
        <v>83.72471370184483</v>
      </c>
      <c r="K90" s="52">
        <f>IF(Sheet1!$A168="yes",Sheet1!L173,"")</f>
        <v>99.89086468103142</v>
      </c>
      <c r="L90" s="52">
        <f>IF(Sheet1!$A168="yes",Sheet1!M173,"")</f>
        <v>214.67990033920793</v>
      </c>
      <c r="M90" s="71">
        <f>IF(Sheet1!$A168="yes",Sheet1!O173,"")</f>
        <v>0.03899457663667261</v>
      </c>
    </row>
    <row r="91" spans="2:13" ht="12.75">
      <c r="B91" s="20" t="str">
        <f>IF(Sheet1!$A169="yes",Sheet1!C174,"")</f>
        <v>Africa to and from Southeast Asia</v>
      </c>
      <c r="C91" s="20"/>
      <c r="D91" s="52">
        <f>IF(Sheet1!$A169="yes",HLOOKUP(D$48,Sheet1!$C$129:$M$184,Sheet1!$B174,FALSE),"")</f>
        <v>2.9050187913352823</v>
      </c>
      <c r="E91" s="52">
        <f>IF(Sheet1!$A169="yes",HLOOKUP(E$48,Sheet1!$C$129:$M$184,Sheet1!$B174,FALSE),"")</f>
        <v>3.306884039934547</v>
      </c>
      <c r="F91" s="52">
        <f>IF(Sheet1!$A169="yes",HLOOKUP(F$48,Sheet1!$C$129:$M$184,Sheet1!$B174,FALSE),"")</f>
        <v>4.065335683243182</v>
      </c>
      <c r="G91" s="52">
        <f>IF(Sheet1!$A169="yes",HLOOKUP(G$48,Sheet1!$C$129:$M$184,Sheet1!$B174,FALSE),"")</f>
        <v>4.118312788165782</v>
      </c>
      <c r="H91" s="52">
        <f>IF(Sheet1!$A169="yes",HLOOKUP(H$48,Sheet1!$C$129:$M$184,Sheet1!$B174,FALSE),"")</f>
        <v>4.501622824686041</v>
      </c>
      <c r="I91" s="52">
        <f>IF(Sheet1!$A169="yes",HLOOKUP(I$48,Sheet1!$C$129:$M$184,Sheet1!$B174,FALSE),"")</f>
        <v>5.241305336304433</v>
      </c>
      <c r="J91" s="52">
        <f>IF(Sheet1!$A169="yes",HLOOKUP(J$48,Sheet1!$C$129:$M$184,Sheet1!$B174,FALSE),"")</f>
        <v>4.1944755242402865</v>
      </c>
      <c r="K91" s="52">
        <f>IF(Sheet1!$A169="yes",Sheet1!L174,"")</f>
        <v>5.637198003299394</v>
      </c>
      <c r="L91" s="52">
        <f>IF(Sheet1!$A169="yes",Sheet1!M174,"")</f>
        <v>24.009822766489133</v>
      </c>
      <c r="M91" s="71">
        <f>IF(Sheet1!$A169="yes",Sheet1!O174,"")</f>
        <v>0.07514312765415387</v>
      </c>
    </row>
    <row r="92" spans="2:13" ht="12.75">
      <c r="B92" s="20" t="str">
        <f>IF(Sheet1!$A170="yes",Sheet1!C175,"")</f>
        <v>Africa to and from North America</v>
      </c>
      <c r="C92" s="20"/>
      <c r="D92" s="52">
        <f>IF(Sheet1!$A170="yes",HLOOKUP(D$48,Sheet1!$C$129:$M$184,Sheet1!$B175,FALSE),"")</f>
        <v>4.382469334768332</v>
      </c>
      <c r="E92" s="52">
        <f>IF(Sheet1!$A170="yes",HLOOKUP(E$48,Sheet1!$C$129:$M$184,Sheet1!$B175,FALSE),"")</f>
        <v>3.7554826279637146</v>
      </c>
      <c r="F92" s="52">
        <f>IF(Sheet1!$A170="yes",HLOOKUP(F$48,Sheet1!$C$129:$M$184,Sheet1!$B175,FALSE),"")</f>
        <v>3.33092218272497</v>
      </c>
      <c r="G92" s="52">
        <f>IF(Sheet1!$A170="yes",HLOOKUP(G$48,Sheet1!$C$129:$M$184,Sheet1!$B175,FALSE),"")</f>
        <v>4.328912867346371</v>
      </c>
      <c r="H92" s="52">
        <f>IF(Sheet1!$A170="yes",HLOOKUP(H$48,Sheet1!$C$129:$M$184,Sheet1!$B175,FALSE),"")</f>
        <v>4.8850535677896705</v>
      </c>
      <c r="I92" s="52">
        <f>IF(Sheet1!$A170="yes",HLOOKUP(I$48,Sheet1!$C$129:$M$184,Sheet1!$B175,FALSE),"")</f>
        <v>6.282115115939246</v>
      </c>
      <c r="J92" s="52">
        <f>IF(Sheet1!$A170="yes",HLOOKUP(J$48,Sheet1!$C$129:$M$184,Sheet1!$B175,FALSE),"")</f>
        <v>8.769721801212397</v>
      </c>
      <c r="K92" s="52">
        <f>IF(Sheet1!$A170="yes",Sheet1!L175,"")</f>
        <v>11.425248576153416</v>
      </c>
      <c r="L92" s="52">
        <f>IF(Sheet1!$A170="yes",Sheet1!M175,"")</f>
        <v>39.68300284173779</v>
      </c>
      <c r="M92" s="71">
        <f>IF(Sheet1!$A170="yes",Sheet1!O175,"")</f>
        <v>0.06423354404079884</v>
      </c>
    </row>
    <row r="93" spans="2:13" ht="12.75">
      <c r="B93" s="20" t="str">
        <f>IF(Sheet1!$A171="yes",Sheet1!C176,"")</f>
        <v>Africa to and from Middle East</v>
      </c>
      <c r="C93" s="20"/>
      <c r="D93" s="52">
        <f>IF(Sheet1!$A171="yes",HLOOKUP(D$48,Sheet1!$C$129:$M$184,Sheet1!$B176,FALSE),"")</f>
        <v>13.026353245913658</v>
      </c>
      <c r="E93" s="52">
        <f>IF(Sheet1!$A171="yes",HLOOKUP(E$48,Sheet1!$C$129:$M$184,Sheet1!$B176,FALSE),"")</f>
        <v>12.366494283202497</v>
      </c>
      <c r="F93" s="52">
        <f>IF(Sheet1!$A171="yes",HLOOKUP(F$48,Sheet1!$C$129:$M$184,Sheet1!$B176,FALSE),"")</f>
        <v>16.79350146305171</v>
      </c>
      <c r="G93" s="52">
        <f>IF(Sheet1!$A171="yes",HLOOKUP(G$48,Sheet1!$C$129:$M$184,Sheet1!$B176,FALSE),"")</f>
        <v>20.87494642836356</v>
      </c>
      <c r="H93" s="52">
        <f>IF(Sheet1!$A171="yes",HLOOKUP(H$48,Sheet1!$C$129:$M$184,Sheet1!$B176,FALSE),"")</f>
        <v>23.087497273895156</v>
      </c>
      <c r="I93" s="52">
        <f>IF(Sheet1!$A171="yes",HLOOKUP(I$48,Sheet1!$C$129:$M$184,Sheet1!$B176,FALSE),"")</f>
        <v>24.897960348377797</v>
      </c>
      <c r="J93" s="52">
        <f>IF(Sheet1!$A171="yes",HLOOKUP(J$48,Sheet1!$C$129:$M$184,Sheet1!$B176,FALSE),"")</f>
        <v>32.855548677318716</v>
      </c>
      <c r="K93" s="52">
        <f>IF(Sheet1!$A171="yes",Sheet1!L176,"")</f>
        <v>35.69794977585335</v>
      </c>
      <c r="L93" s="52">
        <f>IF(Sheet1!$A171="yes",Sheet1!M176,"")</f>
        <v>122.79352954299333</v>
      </c>
      <c r="M93" s="71">
        <f>IF(Sheet1!$A171="yes",Sheet1!O176,"")</f>
        <v>0.06371825005259346</v>
      </c>
    </row>
    <row r="94" spans="2:13" ht="12.75">
      <c r="B94" s="20" t="str">
        <f>IF(Sheet1!$A172="yes",Sheet1!C177,"")</f>
        <v>Africa to and from Europe</v>
      </c>
      <c r="C94" s="20"/>
      <c r="D94" s="52">
        <f>IF(Sheet1!$A172="yes",HLOOKUP(D$48,Sheet1!$C$129:$M$184,Sheet1!$B177,FALSE),"")</f>
        <v>96.43040151460268</v>
      </c>
      <c r="E94" s="52">
        <f>IF(Sheet1!$A172="yes",HLOOKUP(E$48,Sheet1!$C$129:$M$184,Sheet1!$B177,FALSE),"")</f>
        <v>101.72974153702388</v>
      </c>
      <c r="F94" s="52">
        <f>IF(Sheet1!$A172="yes",HLOOKUP(F$48,Sheet1!$C$129:$M$184,Sheet1!$B177,FALSE),"")</f>
        <v>106.36883107973927</v>
      </c>
      <c r="G94" s="52">
        <f>IF(Sheet1!$A172="yes",HLOOKUP(G$48,Sheet1!$C$129:$M$184,Sheet1!$B177,FALSE),"")</f>
        <v>121.94799202043107</v>
      </c>
      <c r="H94" s="52">
        <f>IF(Sheet1!$A172="yes",HLOOKUP(H$48,Sheet1!$C$129:$M$184,Sheet1!$B177,FALSE),"")</f>
        <v>125.32301788553914</v>
      </c>
      <c r="I94" s="52">
        <f>IF(Sheet1!$A172="yes",HLOOKUP(I$48,Sheet1!$C$129:$M$184,Sheet1!$B177,FALSE),"")</f>
        <v>125.60353185035959</v>
      </c>
      <c r="J94" s="52">
        <f>IF(Sheet1!$A172="yes",HLOOKUP(J$48,Sheet1!$C$129:$M$184,Sheet1!$B177,FALSE),"")</f>
        <v>128.1689843921267</v>
      </c>
      <c r="K94" s="52">
        <f>IF(Sheet1!$A172="yes",Sheet1!L177,"")</f>
        <v>138.05088262136738</v>
      </c>
      <c r="L94" s="52">
        <f>IF(Sheet1!$A172="yes",Sheet1!M177,"")</f>
        <v>339.16974268726307</v>
      </c>
      <c r="M94" s="71">
        <f>IF(Sheet1!$A172="yes",Sheet1!O177,"")</f>
        <v>0.045969198538740486</v>
      </c>
    </row>
    <row r="95" spans="2:13" ht="12.75">
      <c r="B95" s="20">
        <f>IF(Sheet1!$A173="yes",Sheet1!C178,"")</f>
      </c>
      <c r="C95" s="20"/>
      <c r="D95" s="52">
        <f>IF(Sheet1!$A173="yes",HLOOKUP(D$48,Sheet1!$C$129:$M$184,Sheet1!$B178,FALSE),"")</f>
      </c>
      <c r="E95" s="52">
        <f>IF(Sheet1!$A173="yes",HLOOKUP(E$48,Sheet1!$C$129:$M$184,Sheet1!$B178,FALSE),"")</f>
      </c>
      <c r="F95" s="52">
        <f>IF(Sheet1!$A173="yes",HLOOKUP(F$48,Sheet1!$C$129:$M$184,Sheet1!$B178,FALSE),"")</f>
      </c>
      <c r="G95" s="52">
        <f>IF(Sheet1!$A173="yes",HLOOKUP(G$48,Sheet1!$C$129:$M$184,Sheet1!$B178,FALSE),"")</f>
      </c>
      <c r="H95" s="52">
        <f>IF(Sheet1!$A173="yes",HLOOKUP(H$48,Sheet1!$C$129:$M$184,Sheet1!$B178,FALSE),"")</f>
      </c>
      <c r="I95" s="52">
        <f>IF(Sheet1!$A173="yes",HLOOKUP(I$48,Sheet1!$C$129:$M$184,Sheet1!$B178,FALSE),"")</f>
      </c>
      <c r="J95" s="52">
        <f>IF(Sheet1!$A173="yes",HLOOKUP(J$48,Sheet1!$C$129:$M$184,Sheet1!$B178,FALSE),"")</f>
      </c>
      <c r="K95" s="52">
        <f>IF(Sheet1!$A173="yes",Sheet1!L178,"")</f>
      </c>
      <c r="L95" s="52">
        <f>IF(Sheet1!$A173="yes",Sheet1!M178,"")</f>
      </c>
      <c r="M95" s="71">
        <f>IF(Sheet1!$A173="yes",Sheet1!O178,"")</f>
      </c>
    </row>
    <row r="96" spans="2:13" ht="12.75">
      <c r="B96" s="20">
        <f>IF(Sheet1!$A174="yes",Sheet1!C179,"")</f>
      </c>
      <c r="C96" s="20"/>
      <c r="D96" s="52">
        <f>IF(Sheet1!$A174="yes",HLOOKUP(D$48,Sheet1!$C$129:$M$184,Sheet1!$B179,FALSE),"")</f>
      </c>
      <c r="E96" s="52">
        <f>IF(Sheet1!$A174="yes",HLOOKUP(E$48,Sheet1!$C$129:$M$184,Sheet1!$B179,FALSE),"")</f>
      </c>
      <c r="F96" s="52">
        <f>IF(Sheet1!$A174="yes",HLOOKUP(F$48,Sheet1!$C$129:$M$184,Sheet1!$B179,FALSE),"")</f>
      </c>
      <c r="G96" s="52">
        <f>IF(Sheet1!$A174="yes",HLOOKUP(G$48,Sheet1!$C$129:$M$184,Sheet1!$B179,FALSE),"")</f>
      </c>
      <c r="H96" s="52">
        <f>IF(Sheet1!$A174="yes",HLOOKUP(H$48,Sheet1!$C$129:$M$184,Sheet1!$B179,FALSE),"")</f>
      </c>
      <c r="I96" s="52">
        <f>IF(Sheet1!$A174="yes",HLOOKUP(I$48,Sheet1!$C$129:$M$184,Sheet1!$B179,FALSE),"")</f>
      </c>
      <c r="J96" s="52">
        <f>IF(Sheet1!$A174="yes",HLOOKUP(J$48,Sheet1!$C$129:$M$184,Sheet1!$B179,FALSE),"")</f>
      </c>
      <c r="K96" s="52">
        <f>IF(Sheet1!$A174="yes",Sheet1!L179,"")</f>
      </c>
      <c r="L96" s="52">
        <f>IF(Sheet1!$A174="yes",Sheet1!M179,"")</f>
      </c>
      <c r="M96" s="71">
        <f>IF(Sheet1!$A174="yes",Sheet1!N179,"")</f>
      </c>
    </row>
    <row r="97" spans="2:13" ht="12.75">
      <c r="B97" s="20">
        <f>IF(Sheet1!$A175="yes",Sheet1!C180,"")</f>
      </c>
      <c r="C97" s="20"/>
      <c r="D97" s="52">
        <f>IF(Sheet1!$A175="yes",HLOOKUP(D$48,Sheet1!$C$129:$M$184,Sheet1!$B180,FALSE),"")</f>
      </c>
      <c r="E97" s="52">
        <f>IF(Sheet1!$A175="yes",HLOOKUP(E$48,Sheet1!$C$129:$M$184,Sheet1!$B180,FALSE),"")</f>
      </c>
      <c r="F97" s="52">
        <f>IF(Sheet1!$A175="yes",HLOOKUP(F$48,Sheet1!$C$129:$M$184,Sheet1!$B180,FALSE),"")</f>
      </c>
      <c r="G97" s="52">
        <f>IF(Sheet1!$A175="yes",HLOOKUP(G$48,Sheet1!$C$129:$M$184,Sheet1!$B180,FALSE),"")</f>
      </c>
      <c r="H97" s="52">
        <f>IF(Sheet1!$A175="yes",HLOOKUP(H$48,Sheet1!$C$129:$M$184,Sheet1!$B180,FALSE),"")</f>
      </c>
      <c r="I97" s="52">
        <f>IF(Sheet1!$A175="yes",HLOOKUP(I$48,Sheet1!$C$129:$M$184,Sheet1!$B180,FALSE),"")</f>
      </c>
      <c r="J97" s="52">
        <f>IF(Sheet1!$A175="yes",HLOOKUP(J$48,Sheet1!$C$129:$M$184,Sheet1!$B180,FALSE),"")</f>
      </c>
      <c r="K97" s="52">
        <f>IF(Sheet1!$A175="yes",Sheet1!L180,"")</f>
      </c>
      <c r="L97" s="52">
        <f>IF(Sheet1!$A175="yes",Sheet1!M180,"")</f>
      </c>
      <c r="M97" s="71">
        <f>IF(Sheet1!$A175="yes",Sheet1!N180,"")</f>
      </c>
    </row>
    <row r="98" spans="2:13" ht="12.75">
      <c r="B98" s="20">
        <f>IF(Sheet1!$A176="yes",Sheet1!C181,"")</f>
      </c>
      <c r="C98" s="20"/>
      <c r="D98" s="52">
        <f>IF(Sheet1!$A176="yes",HLOOKUP(D$48,Sheet1!$C$129:$M$184,Sheet1!$B181,FALSE),"")</f>
      </c>
      <c r="E98" s="52">
        <f>IF(Sheet1!$A176="yes",HLOOKUP(E$48,Sheet1!$C$129:$M$184,Sheet1!$B181,FALSE),"")</f>
      </c>
      <c r="F98" s="52">
        <f>IF(Sheet1!$A176="yes",HLOOKUP(F$48,Sheet1!$C$129:$M$184,Sheet1!$B181,FALSE),"")</f>
      </c>
      <c r="G98" s="52">
        <f>IF(Sheet1!$A176="yes",HLOOKUP(G$48,Sheet1!$C$129:$M$184,Sheet1!$B181,FALSE),"")</f>
      </c>
      <c r="H98" s="52">
        <f>IF(Sheet1!$A176="yes",HLOOKUP(H$48,Sheet1!$C$129:$M$184,Sheet1!$B181,FALSE),"")</f>
      </c>
      <c r="I98" s="52">
        <f>IF(Sheet1!$A176="yes",HLOOKUP(I$48,Sheet1!$C$129:$M$184,Sheet1!$B181,FALSE),"")</f>
      </c>
      <c r="J98" s="52">
        <f>IF(Sheet1!$A176="yes",HLOOKUP(J$48,Sheet1!$C$129:$M$184,Sheet1!$B181,FALSE),"")</f>
      </c>
      <c r="K98" s="52">
        <f>IF(Sheet1!$A176="yes",Sheet1!L181,"")</f>
      </c>
      <c r="L98" s="52">
        <f>IF(Sheet1!$A176="yes",Sheet1!M181,"")</f>
      </c>
      <c r="M98" s="71">
        <f>IF(Sheet1!$A176="yes",Sheet1!N181,"")</f>
      </c>
    </row>
    <row r="99" spans="2:13" ht="12.75">
      <c r="B99" s="20">
        <f>IF(Sheet1!$A177="yes",Sheet1!C182,"")</f>
      </c>
      <c r="C99" s="20"/>
      <c r="D99" s="52">
        <f>IF(Sheet1!$A177="yes",HLOOKUP(D$48,Sheet1!$C$129:$M$184,Sheet1!$B182,FALSE),"")</f>
      </c>
      <c r="E99" s="52">
        <f>IF(Sheet1!$A177="yes",HLOOKUP(E$48,Sheet1!$C$129:$M$184,Sheet1!$B182,FALSE),"")</f>
      </c>
      <c r="F99" s="52">
        <f>IF(Sheet1!$A177="yes",HLOOKUP(F$48,Sheet1!$C$129:$M$184,Sheet1!$B182,FALSE),"")</f>
      </c>
      <c r="G99" s="52">
        <f>IF(Sheet1!$A177="yes",HLOOKUP(G$48,Sheet1!$C$129:$M$184,Sheet1!$B182,FALSE),"")</f>
      </c>
      <c r="H99" s="52">
        <f>IF(Sheet1!$A177="yes",HLOOKUP(H$48,Sheet1!$C$129:$M$184,Sheet1!$B182,FALSE),"")</f>
      </c>
      <c r="I99" s="52">
        <f>IF(Sheet1!$A177="yes",HLOOKUP(I$48,Sheet1!$C$129:$M$184,Sheet1!$B182,FALSE),"")</f>
      </c>
      <c r="J99" s="52">
        <f>IF(Sheet1!$A177="yes",HLOOKUP(J$48,Sheet1!$C$129:$M$184,Sheet1!$B182,FALSE),"")</f>
      </c>
      <c r="K99" s="52">
        <f>IF(Sheet1!$A177="yes",Sheet1!L182,"")</f>
      </c>
      <c r="L99" s="52">
        <f>IF(Sheet1!$A177="yes",Sheet1!M182,"")</f>
      </c>
      <c r="M99" s="71">
        <f>IF(Sheet1!$A177="yes",Sheet1!N182,"")</f>
      </c>
    </row>
    <row r="100" spans="2:13" ht="12.75">
      <c r="B100" s="20">
        <f>IF(Sheet1!$A178="yes",Sheet1!C183,"")</f>
      </c>
      <c r="C100" s="20"/>
      <c r="D100" s="52">
        <f>IF(Sheet1!$A178="yes",HLOOKUP(D$48,Sheet1!$C$129:$M$184,Sheet1!$B183,FALSE),"")</f>
      </c>
      <c r="E100" s="52">
        <f>IF(Sheet1!$A178="yes",HLOOKUP(E$48,Sheet1!$C$129:$M$184,Sheet1!$B183,FALSE),"")</f>
      </c>
      <c r="F100" s="52">
        <f>IF(Sheet1!$A178="yes",HLOOKUP(F$48,Sheet1!$C$129:$M$184,Sheet1!$B183,FALSE),"")</f>
      </c>
      <c r="G100" s="52">
        <f>IF(Sheet1!$A178="yes",HLOOKUP(G$48,Sheet1!$C$129:$M$184,Sheet1!$B183,FALSE),"")</f>
      </c>
      <c r="H100" s="52">
        <f>IF(Sheet1!$A178="yes",HLOOKUP(H$48,Sheet1!$C$129:$M$184,Sheet1!$B183,FALSE),"")</f>
      </c>
      <c r="I100" s="52">
        <f>IF(Sheet1!$A178="yes",HLOOKUP(I$48,Sheet1!$C$129:$M$184,Sheet1!$B183,FALSE),"")</f>
      </c>
      <c r="J100" s="52">
        <f>IF(Sheet1!$A178="yes",HLOOKUP(J$48,Sheet1!$C$129:$M$184,Sheet1!$B183,FALSE),"")</f>
      </c>
      <c r="K100" s="52">
        <f>IF(Sheet1!$A178="yes",Sheet1!L183,"")</f>
      </c>
      <c r="L100" s="52">
        <f>IF(Sheet1!$A178="yes",Sheet1!M183,"")</f>
      </c>
      <c r="M100" s="71">
        <f>IF(Sheet1!$A178="yes",Sheet1!N183,"")</f>
      </c>
    </row>
    <row r="101" spans="2:13" ht="12.75">
      <c r="B101" s="20">
        <f>IF(Sheet1!$A179="yes",Sheet1!C184,"")</f>
      </c>
      <c r="C101" s="20"/>
      <c r="D101" s="52">
        <f>IF(Sheet1!$A179="yes",HLOOKUP(D$48,Sheet1!$C$129:$M$184,Sheet1!$B184,FALSE),"")</f>
      </c>
      <c r="E101" s="52">
        <f>IF(Sheet1!$A179="yes",HLOOKUP(E$48,Sheet1!$C$129:$M$184,Sheet1!$B184,FALSE),"")</f>
      </c>
      <c r="F101" s="52">
        <f>IF(Sheet1!$A179="yes",HLOOKUP(F$48,Sheet1!$C$129:$M$184,Sheet1!$B184,FALSE),"")</f>
      </c>
      <c r="G101" s="52">
        <f>IF(Sheet1!$A179="yes",HLOOKUP(G$48,Sheet1!$C$129:$M$184,Sheet1!$B184,FALSE),"")</f>
      </c>
      <c r="H101" s="52">
        <f>IF(Sheet1!$A179="yes",HLOOKUP(H$48,Sheet1!$C$129:$M$184,Sheet1!$B184,FALSE),"")</f>
      </c>
      <c r="I101" s="52">
        <f>IF(Sheet1!$A179="yes",HLOOKUP(I$48,Sheet1!$C$129:$M$184,Sheet1!$B184,FALSE),"")</f>
      </c>
      <c r="J101" s="52">
        <f>IF(Sheet1!$A179="yes",HLOOKUP(J$48,Sheet1!$C$129:$M$184,Sheet1!$B184,FALSE),"")</f>
      </c>
      <c r="K101" s="52">
        <f>IF(Sheet1!$A179="yes",Sheet1!L184,"")</f>
      </c>
      <c r="L101" s="52">
        <f>IF(Sheet1!$A179="yes",Sheet1!M184,"")</f>
      </c>
      <c r="M101" s="71">
        <f>IF(Sheet1!$A179="yes",Sheet1!N184,"")</f>
      </c>
    </row>
    <row r="102" ht="12.75">
      <c r="M102" s="71">
        <f>IF(Sheet1!$A180="yes",'Region summary'!AG105,"")</f>
      </c>
    </row>
    <row r="103" ht="12.75">
      <c r="M103" s="71">
        <f>IF(Sheet1!$A181="yes",'Region summary'!AG106,"")</f>
      </c>
    </row>
    <row r="104" ht="12.75">
      <c r="M104" s="71">
        <f>IF(Sheet1!$A182="yes",'Region summary'!AG107,"")</f>
      </c>
    </row>
    <row r="105" spans="13:33" ht="12.75">
      <c r="M105" s="71">
        <f>IF(Sheet1!$A183="yes",'Region summary'!AG108,"")</f>
      </c>
      <c r="AG105" s="194">
        <f aca="true" t="shared" si="1" ref="AG105:AG136">IF(AE105&gt;0,(AF105/AE105)^(1/(endyear-baseyear))-1,0)</f>
        <v>0</v>
      </c>
    </row>
    <row r="106" spans="13:33" ht="12.75">
      <c r="M106" s="71">
        <f>IF(Sheet1!$A184="yes",'Region summary'!AG109,"")</f>
      </c>
      <c r="AG106" s="194">
        <f t="shared" si="1"/>
        <v>0</v>
      </c>
    </row>
    <row r="107" spans="13:33" ht="12.75">
      <c r="M107" s="71">
        <f>IF($T105="yes",'Region summary'!AG110,"")</f>
      </c>
      <c r="AG107" s="194">
        <f t="shared" si="1"/>
        <v>0</v>
      </c>
    </row>
    <row r="108" spans="13:33" ht="12.75">
      <c r="M108" s="71">
        <f>IF($T106="yes",'Region summary'!AG111,"")</f>
      </c>
      <c r="AG108" s="194">
        <f t="shared" si="1"/>
        <v>0</v>
      </c>
    </row>
    <row r="109" spans="10:33" ht="12.75">
      <c r="J109" s="191"/>
      <c r="AG109" s="194">
        <f t="shared" si="1"/>
        <v>0</v>
      </c>
    </row>
    <row r="110" spans="10:33" ht="12.75">
      <c r="J110" s="191"/>
      <c r="AG110" s="194">
        <f t="shared" si="1"/>
        <v>0</v>
      </c>
    </row>
    <row r="111" ht="12.75">
      <c r="AG111" s="194">
        <f t="shared" si="1"/>
        <v>0</v>
      </c>
    </row>
    <row r="112" spans="11:33" ht="12.75">
      <c r="K112" s="191"/>
      <c r="AG112" s="194">
        <f t="shared" si="1"/>
        <v>0</v>
      </c>
    </row>
    <row r="113" ht="12.75">
      <c r="AG113" s="194">
        <f t="shared" si="1"/>
        <v>0</v>
      </c>
    </row>
    <row r="114" ht="12.75">
      <c r="AG114" s="194">
        <f t="shared" si="1"/>
        <v>0</v>
      </c>
    </row>
    <row r="115" ht="12.75">
      <c r="AG115" s="194">
        <f t="shared" si="1"/>
        <v>0</v>
      </c>
    </row>
    <row r="116" ht="12.75">
      <c r="AG116" s="194">
        <f t="shared" si="1"/>
        <v>0</v>
      </c>
    </row>
    <row r="117" ht="12.75">
      <c r="AG117" s="194">
        <f t="shared" si="1"/>
        <v>0</v>
      </c>
    </row>
    <row r="118" ht="12.75">
      <c r="AG118" s="194">
        <f t="shared" si="1"/>
        <v>0</v>
      </c>
    </row>
    <row r="119" ht="12.75">
      <c r="AG119" s="194">
        <f t="shared" si="1"/>
        <v>0</v>
      </c>
    </row>
    <row r="120" ht="12.75">
      <c r="AG120" s="194">
        <f t="shared" si="1"/>
        <v>0</v>
      </c>
    </row>
    <row r="121" ht="12.75">
      <c r="AG121" s="194">
        <f t="shared" si="1"/>
        <v>0</v>
      </c>
    </row>
    <row r="122" ht="12.75">
      <c r="AG122" s="194">
        <f t="shared" si="1"/>
        <v>0</v>
      </c>
    </row>
    <row r="123" ht="12.75">
      <c r="AG123" s="194">
        <f t="shared" si="1"/>
        <v>0</v>
      </c>
    </row>
    <row r="124" ht="12.75">
      <c r="AG124" s="194">
        <f t="shared" si="1"/>
        <v>0</v>
      </c>
    </row>
    <row r="125" ht="12.75">
      <c r="AG125" s="194">
        <f t="shared" si="1"/>
        <v>0</v>
      </c>
    </row>
    <row r="126" ht="12.75">
      <c r="AG126" s="194">
        <f t="shared" si="1"/>
        <v>0</v>
      </c>
    </row>
    <row r="127" ht="12.75">
      <c r="AG127" s="194">
        <f t="shared" si="1"/>
        <v>0</v>
      </c>
    </row>
    <row r="128" ht="12.75">
      <c r="AG128" s="194">
        <f t="shared" si="1"/>
        <v>0</v>
      </c>
    </row>
    <row r="129" ht="12.75">
      <c r="AG129" s="194">
        <f t="shared" si="1"/>
        <v>0</v>
      </c>
    </row>
    <row r="130" ht="12.75">
      <c r="AG130" s="194">
        <f t="shared" si="1"/>
        <v>0</v>
      </c>
    </row>
    <row r="131" ht="12.75">
      <c r="AG131" s="194">
        <f t="shared" si="1"/>
        <v>0</v>
      </c>
    </row>
    <row r="132" ht="12.75">
      <c r="AG132" s="194">
        <f t="shared" si="1"/>
        <v>0</v>
      </c>
    </row>
    <row r="133" ht="12.75">
      <c r="AG133" s="194">
        <f t="shared" si="1"/>
        <v>0</v>
      </c>
    </row>
    <row r="134" ht="12.75">
      <c r="AG134" s="194">
        <f t="shared" si="1"/>
        <v>0</v>
      </c>
    </row>
    <row r="135" ht="12.75">
      <c r="AG135" s="194">
        <f t="shared" si="1"/>
        <v>0</v>
      </c>
    </row>
    <row r="136" ht="12.75">
      <c r="AG136" s="194">
        <f t="shared" si="1"/>
        <v>0</v>
      </c>
    </row>
    <row r="137" ht="12.75">
      <c r="AG137" s="194">
        <f aca="true" t="shared" si="2" ref="AG137:AG168">IF(AE137&gt;0,(AF137/AE137)^(1/(endyear-baseyear))-1,0)</f>
        <v>0</v>
      </c>
    </row>
    <row r="138" ht="12.75">
      <c r="AG138" s="194">
        <f t="shared" si="2"/>
        <v>0</v>
      </c>
    </row>
    <row r="139" ht="12.75">
      <c r="AG139" s="194">
        <f t="shared" si="2"/>
        <v>0</v>
      </c>
    </row>
    <row r="140" ht="12.75">
      <c r="AG140" s="194">
        <f t="shared" si="2"/>
        <v>0</v>
      </c>
    </row>
    <row r="141" ht="12.75">
      <c r="AG141" s="194">
        <f t="shared" si="2"/>
        <v>0</v>
      </c>
    </row>
    <row r="142" ht="12.75">
      <c r="AG142" s="194">
        <f t="shared" si="2"/>
        <v>0</v>
      </c>
    </row>
    <row r="143" ht="12.75">
      <c r="AG143" s="194">
        <f t="shared" si="2"/>
        <v>0</v>
      </c>
    </row>
    <row r="144" ht="12.75">
      <c r="AG144" s="194">
        <f t="shared" si="2"/>
        <v>0</v>
      </c>
    </row>
    <row r="145" ht="12.75">
      <c r="AG145" s="194">
        <f t="shared" si="2"/>
        <v>0</v>
      </c>
    </row>
    <row r="146" ht="12.75">
      <c r="AG146" s="194">
        <f t="shared" si="2"/>
        <v>0</v>
      </c>
    </row>
    <row r="147" ht="12.75">
      <c r="AG147" s="194">
        <f t="shared" si="2"/>
        <v>0</v>
      </c>
    </row>
    <row r="148" ht="12.75">
      <c r="AG148" s="194">
        <f t="shared" si="2"/>
        <v>0</v>
      </c>
    </row>
    <row r="149" ht="12.75">
      <c r="AG149" s="194">
        <f t="shared" si="2"/>
        <v>0</v>
      </c>
    </row>
    <row r="150" ht="12.75">
      <c r="AG150" s="194">
        <f t="shared" si="2"/>
        <v>0</v>
      </c>
    </row>
    <row r="151" ht="12.75">
      <c r="AG151" s="194">
        <f t="shared" si="2"/>
        <v>0</v>
      </c>
    </row>
    <row r="152" ht="12.75">
      <c r="AG152" s="194">
        <f t="shared" si="2"/>
        <v>0</v>
      </c>
    </row>
    <row r="153" ht="12.75">
      <c r="AG153" s="194">
        <f t="shared" si="2"/>
        <v>0</v>
      </c>
    </row>
    <row r="154" ht="12.75">
      <c r="AG154" s="194">
        <f t="shared" si="2"/>
        <v>0</v>
      </c>
    </row>
    <row r="155" ht="12.75">
      <c r="AG155" s="194">
        <f t="shared" si="2"/>
        <v>0</v>
      </c>
    </row>
    <row r="156" ht="12.75">
      <c r="AG156" s="194">
        <f t="shared" si="2"/>
        <v>0</v>
      </c>
    </row>
    <row r="157" ht="12.75">
      <c r="AG157" s="194">
        <f t="shared" si="2"/>
        <v>0</v>
      </c>
    </row>
    <row r="158" ht="12.75">
      <c r="AG158" s="194">
        <f t="shared" si="2"/>
        <v>0</v>
      </c>
    </row>
    <row r="159" ht="12.75">
      <c r="AG159" s="194">
        <f t="shared" si="2"/>
        <v>0</v>
      </c>
    </row>
    <row r="160" ht="12.75">
      <c r="AG160" s="194">
        <f t="shared" si="2"/>
        <v>0</v>
      </c>
    </row>
    <row r="161" ht="12.75">
      <c r="AG161" s="194">
        <f t="shared" si="2"/>
        <v>0</v>
      </c>
    </row>
    <row r="162" ht="12.75">
      <c r="AG162" s="194">
        <f t="shared" si="2"/>
        <v>0</v>
      </c>
    </row>
    <row r="163" ht="12.75">
      <c r="AG163" s="194">
        <f t="shared" si="2"/>
        <v>0</v>
      </c>
    </row>
    <row r="164" ht="12.75">
      <c r="AG164" s="194">
        <f t="shared" si="2"/>
        <v>0</v>
      </c>
    </row>
    <row r="165" ht="12.75">
      <c r="AG165" s="194">
        <f t="shared" si="2"/>
        <v>0</v>
      </c>
    </row>
    <row r="166" ht="12.75">
      <c r="AG166" s="194">
        <f t="shared" si="2"/>
        <v>0</v>
      </c>
    </row>
    <row r="167" ht="12.75">
      <c r="AG167" s="194">
        <f t="shared" si="2"/>
        <v>0</v>
      </c>
    </row>
    <row r="168" ht="12.75">
      <c r="AG168" s="194">
        <f t="shared" si="2"/>
        <v>0</v>
      </c>
    </row>
    <row r="169" ht="12.75">
      <c r="AG169" s="194">
        <f aca="true" t="shared" si="3" ref="AG169:AG200">IF(AE169&gt;0,(AF169/AE169)^(1/(endyear-baseyear))-1,0)</f>
        <v>0</v>
      </c>
    </row>
    <row r="170" ht="12.75">
      <c r="AG170" s="194">
        <f t="shared" si="3"/>
        <v>0</v>
      </c>
    </row>
    <row r="171" ht="12.75">
      <c r="AG171" s="194">
        <f t="shared" si="3"/>
        <v>0</v>
      </c>
    </row>
    <row r="172" ht="12.75">
      <c r="AG172" s="194">
        <f t="shared" si="3"/>
        <v>0</v>
      </c>
    </row>
    <row r="173" ht="12.75">
      <c r="AG173" s="194">
        <f t="shared" si="3"/>
        <v>0</v>
      </c>
    </row>
    <row r="174" ht="12.75">
      <c r="AG174" s="194">
        <f t="shared" si="3"/>
        <v>0</v>
      </c>
    </row>
    <row r="175" ht="12.75">
      <c r="AG175" s="194">
        <f t="shared" si="3"/>
        <v>0</v>
      </c>
    </row>
    <row r="176" ht="12.75">
      <c r="AG176" s="194">
        <f t="shared" si="3"/>
        <v>0</v>
      </c>
    </row>
    <row r="177" ht="12.75">
      <c r="AG177" s="194">
        <f t="shared" si="3"/>
        <v>0</v>
      </c>
    </row>
    <row r="178" ht="12.75">
      <c r="AG178" s="194">
        <f t="shared" si="3"/>
        <v>0</v>
      </c>
    </row>
    <row r="179" ht="12.75">
      <c r="AG179" s="194">
        <f t="shared" si="3"/>
        <v>0</v>
      </c>
    </row>
    <row r="180" ht="12.75">
      <c r="AG180" s="194">
        <f t="shared" si="3"/>
        <v>0</v>
      </c>
    </row>
    <row r="181" ht="12.75">
      <c r="AG181" s="194">
        <f t="shared" si="3"/>
        <v>0</v>
      </c>
    </row>
    <row r="182" ht="12.75">
      <c r="AG182" s="194">
        <f t="shared" si="3"/>
        <v>0</v>
      </c>
    </row>
    <row r="183" ht="12.75">
      <c r="AG183" s="194">
        <f t="shared" si="3"/>
        <v>0</v>
      </c>
    </row>
    <row r="184" ht="12.75">
      <c r="AG184" s="194">
        <f t="shared" si="3"/>
        <v>0</v>
      </c>
    </row>
    <row r="185" ht="12.75">
      <c r="AG185" s="194">
        <f t="shared" si="3"/>
        <v>0</v>
      </c>
    </row>
    <row r="186" ht="12.75">
      <c r="AG186" s="194">
        <f t="shared" si="3"/>
        <v>0</v>
      </c>
    </row>
    <row r="187" ht="12.75">
      <c r="AG187" s="194">
        <f t="shared" si="3"/>
        <v>0</v>
      </c>
    </row>
    <row r="188" ht="12.75">
      <c r="AG188" s="194">
        <f t="shared" si="3"/>
        <v>0</v>
      </c>
    </row>
    <row r="189" ht="12.75">
      <c r="AG189" s="194">
        <f t="shared" si="3"/>
        <v>0</v>
      </c>
    </row>
    <row r="190" ht="12.75">
      <c r="AG190" s="194">
        <f t="shared" si="3"/>
        <v>0</v>
      </c>
    </row>
    <row r="191" ht="12.75">
      <c r="AG191" s="194">
        <f t="shared" si="3"/>
        <v>0</v>
      </c>
    </row>
    <row r="192" ht="12.75">
      <c r="AG192" s="194">
        <f t="shared" si="3"/>
        <v>0</v>
      </c>
    </row>
    <row r="193" ht="12.75">
      <c r="AG193" s="194">
        <f t="shared" si="3"/>
        <v>0</v>
      </c>
    </row>
    <row r="194" ht="12.75">
      <c r="AG194" s="194">
        <f t="shared" si="3"/>
        <v>0</v>
      </c>
    </row>
    <row r="195" ht="12.75">
      <c r="AG195" s="194">
        <f t="shared" si="3"/>
        <v>0</v>
      </c>
    </row>
    <row r="196" ht="12.75">
      <c r="AG196" s="194">
        <f t="shared" si="3"/>
        <v>0</v>
      </c>
    </row>
    <row r="197" ht="12.75">
      <c r="AG197" s="194">
        <f t="shared" si="3"/>
        <v>0</v>
      </c>
    </row>
    <row r="198" ht="12.75">
      <c r="AG198" s="194">
        <f t="shared" si="3"/>
        <v>0</v>
      </c>
    </row>
    <row r="199" ht="12.75">
      <c r="AG199" s="194">
        <f t="shared" si="3"/>
        <v>0</v>
      </c>
    </row>
    <row r="200" ht="12.75">
      <c r="AG200" s="194">
        <f t="shared" si="3"/>
        <v>0</v>
      </c>
    </row>
    <row r="201" ht="12.75">
      <c r="AG201" s="194">
        <f aca="true" t="shared" si="4" ref="AG201:AG232">IF(AE201&gt;0,(AF201/AE201)^(1/(endyear-baseyear))-1,0)</f>
        <v>0</v>
      </c>
    </row>
    <row r="202" ht="12.75">
      <c r="AG202" s="194">
        <f t="shared" si="4"/>
        <v>0</v>
      </c>
    </row>
    <row r="203" ht="12.75">
      <c r="AG203" s="194">
        <f t="shared" si="4"/>
        <v>0</v>
      </c>
    </row>
    <row r="204" ht="12.75">
      <c r="AG204" s="194">
        <f t="shared" si="4"/>
        <v>0</v>
      </c>
    </row>
    <row r="205" ht="12.75">
      <c r="AG205" s="194">
        <f t="shared" si="4"/>
        <v>0</v>
      </c>
    </row>
    <row r="206" ht="12.75">
      <c r="AG206" s="194">
        <f t="shared" si="4"/>
        <v>0</v>
      </c>
    </row>
    <row r="207" ht="12.75">
      <c r="AG207" s="194">
        <f t="shared" si="4"/>
        <v>0</v>
      </c>
    </row>
    <row r="208" ht="12.75">
      <c r="AG208" s="194">
        <f t="shared" si="4"/>
        <v>0</v>
      </c>
    </row>
    <row r="209" ht="12.75">
      <c r="AG209" s="194">
        <f t="shared" si="4"/>
        <v>0</v>
      </c>
    </row>
    <row r="210" ht="12.75">
      <c r="AG210" s="194">
        <f t="shared" si="4"/>
        <v>0</v>
      </c>
    </row>
    <row r="211" ht="12.75">
      <c r="AG211" s="194">
        <f t="shared" si="4"/>
        <v>0</v>
      </c>
    </row>
    <row r="212" ht="12.75">
      <c r="AG212" s="194">
        <f t="shared" si="4"/>
        <v>0</v>
      </c>
    </row>
    <row r="213" ht="12.75">
      <c r="AG213" s="194">
        <f t="shared" si="4"/>
        <v>0</v>
      </c>
    </row>
    <row r="214" ht="12.75">
      <c r="AG214" s="194">
        <f t="shared" si="4"/>
        <v>0</v>
      </c>
    </row>
    <row r="215" ht="12.75">
      <c r="AG215" s="194">
        <f t="shared" si="4"/>
        <v>0</v>
      </c>
    </row>
    <row r="216" ht="12.75">
      <c r="AG216" s="194">
        <f t="shared" si="4"/>
        <v>0</v>
      </c>
    </row>
    <row r="217" ht="12.75">
      <c r="AG217" s="194">
        <f t="shared" si="4"/>
        <v>0</v>
      </c>
    </row>
    <row r="218" ht="12.75">
      <c r="AG218" s="194">
        <f t="shared" si="4"/>
        <v>0</v>
      </c>
    </row>
    <row r="219" ht="12.75">
      <c r="AG219" s="194">
        <f t="shared" si="4"/>
        <v>0</v>
      </c>
    </row>
    <row r="220" ht="12.75">
      <c r="AG220" s="194">
        <f t="shared" si="4"/>
        <v>0</v>
      </c>
    </row>
    <row r="221" ht="12.75">
      <c r="AG221" s="194">
        <f t="shared" si="4"/>
        <v>0</v>
      </c>
    </row>
    <row r="222" ht="12.75">
      <c r="AG222" s="194">
        <f t="shared" si="4"/>
        <v>0</v>
      </c>
    </row>
    <row r="223" ht="12.75">
      <c r="AG223" s="194">
        <f t="shared" si="4"/>
        <v>0</v>
      </c>
    </row>
    <row r="224" ht="12.75">
      <c r="AG224" s="194">
        <f t="shared" si="4"/>
        <v>0</v>
      </c>
    </row>
    <row r="225" ht="12.75">
      <c r="AG225" s="194">
        <f t="shared" si="4"/>
        <v>0</v>
      </c>
    </row>
    <row r="226" ht="12.75">
      <c r="AG226" s="194">
        <f t="shared" si="4"/>
        <v>0</v>
      </c>
    </row>
    <row r="227" ht="12.75">
      <c r="AG227" s="194">
        <f t="shared" si="4"/>
        <v>0</v>
      </c>
    </row>
    <row r="228" ht="12.75">
      <c r="AG228" s="194">
        <f t="shared" si="4"/>
        <v>0</v>
      </c>
    </row>
    <row r="229" ht="12.75">
      <c r="AG229" s="194">
        <f t="shared" si="4"/>
        <v>0</v>
      </c>
    </row>
    <row r="230" ht="12.75">
      <c r="AG230" s="194">
        <f t="shared" si="4"/>
        <v>0</v>
      </c>
    </row>
    <row r="231" ht="12.75">
      <c r="AG231" s="194">
        <f t="shared" si="4"/>
        <v>0</v>
      </c>
    </row>
    <row r="232" ht="12.75">
      <c r="AG232" s="194">
        <f t="shared" si="4"/>
        <v>0</v>
      </c>
    </row>
    <row r="233" ht="12.75">
      <c r="AG233" s="194">
        <f aca="true" t="shared" si="5" ref="AG233:AG264">IF(AE233&gt;0,(AF233/AE233)^(1/(endyear-baseyear))-1,0)</f>
        <v>0</v>
      </c>
    </row>
    <row r="234" ht="12.75">
      <c r="AG234" s="194">
        <f t="shared" si="5"/>
        <v>0</v>
      </c>
    </row>
    <row r="235" ht="12.75">
      <c r="AG235" s="194">
        <f t="shared" si="5"/>
        <v>0</v>
      </c>
    </row>
    <row r="236" ht="12.75">
      <c r="AG236" s="194">
        <f t="shared" si="5"/>
        <v>0</v>
      </c>
    </row>
    <row r="237" ht="12.75">
      <c r="AG237" s="194">
        <f t="shared" si="5"/>
        <v>0</v>
      </c>
    </row>
    <row r="238" ht="12.75">
      <c r="AG238" s="194">
        <f t="shared" si="5"/>
        <v>0</v>
      </c>
    </row>
    <row r="239" ht="12.75">
      <c r="AG239" s="194">
        <f t="shared" si="5"/>
        <v>0</v>
      </c>
    </row>
    <row r="240" ht="12.75">
      <c r="AG240" s="194">
        <f t="shared" si="5"/>
        <v>0</v>
      </c>
    </row>
    <row r="241" ht="12.75">
      <c r="AG241" s="194">
        <f t="shared" si="5"/>
        <v>0</v>
      </c>
    </row>
    <row r="242" ht="12.75">
      <c r="AG242" s="194">
        <f t="shared" si="5"/>
        <v>0</v>
      </c>
    </row>
    <row r="243" ht="12.75">
      <c r="AG243" s="194">
        <f t="shared" si="5"/>
        <v>0</v>
      </c>
    </row>
    <row r="244" ht="12.75">
      <c r="AG244" s="194">
        <f t="shared" si="5"/>
        <v>0</v>
      </c>
    </row>
    <row r="245" ht="12.75">
      <c r="AG245" s="194">
        <f t="shared" si="5"/>
        <v>0</v>
      </c>
    </row>
    <row r="246" ht="12.75">
      <c r="AG246" s="194">
        <f t="shared" si="5"/>
        <v>0</v>
      </c>
    </row>
    <row r="247" ht="12.75">
      <c r="AG247" s="194">
        <f t="shared" si="5"/>
        <v>0</v>
      </c>
    </row>
    <row r="248" ht="12.75">
      <c r="AG248" s="194">
        <f t="shared" si="5"/>
        <v>0</v>
      </c>
    </row>
    <row r="249" ht="12.75">
      <c r="AG249" s="194">
        <f t="shared" si="5"/>
        <v>0</v>
      </c>
    </row>
    <row r="250" ht="12.75">
      <c r="AG250" s="194">
        <f t="shared" si="5"/>
        <v>0</v>
      </c>
    </row>
    <row r="251" ht="12.75">
      <c r="AG251" s="194">
        <f t="shared" si="5"/>
        <v>0</v>
      </c>
    </row>
    <row r="252" ht="12.75">
      <c r="AG252" s="194">
        <f t="shared" si="5"/>
        <v>0</v>
      </c>
    </row>
    <row r="253" ht="12.75">
      <c r="AG253" s="194">
        <f t="shared" si="5"/>
        <v>0</v>
      </c>
    </row>
    <row r="254" ht="12.75">
      <c r="AG254" s="194">
        <f t="shared" si="5"/>
        <v>0</v>
      </c>
    </row>
    <row r="255" ht="12.75">
      <c r="AG255" s="194">
        <f t="shared" si="5"/>
        <v>0</v>
      </c>
    </row>
    <row r="256" ht="12.75">
      <c r="AG256" s="194">
        <f t="shared" si="5"/>
        <v>0</v>
      </c>
    </row>
    <row r="257" ht="12.75">
      <c r="AG257" s="194">
        <f t="shared" si="5"/>
        <v>0</v>
      </c>
    </row>
    <row r="258" ht="12.75">
      <c r="AG258" s="194">
        <f t="shared" si="5"/>
        <v>0</v>
      </c>
    </row>
    <row r="259" ht="12.75">
      <c r="AG259" s="194">
        <f t="shared" si="5"/>
        <v>0</v>
      </c>
    </row>
    <row r="260" ht="12.75">
      <c r="AG260" s="194">
        <f t="shared" si="5"/>
        <v>0</v>
      </c>
    </row>
    <row r="261" ht="12.75">
      <c r="AG261" s="194">
        <f t="shared" si="5"/>
        <v>0</v>
      </c>
    </row>
    <row r="262" ht="12.75">
      <c r="AG262" s="194">
        <f t="shared" si="5"/>
        <v>0</v>
      </c>
    </row>
    <row r="263" ht="12.75">
      <c r="AG263" s="194">
        <f t="shared" si="5"/>
        <v>0</v>
      </c>
    </row>
    <row r="264" ht="12.75">
      <c r="AG264" s="194">
        <f t="shared" si="5"/>
        <v>0</v>
      </c>
    </row>
    <row r="265" ht="12.75">
      <c r="AG265" s="194">
        <f aca="true" t="shared" si="6" ref="AG265:AG290">IF(AE265&gt;0,(AF265/AE265)^(1/(endyear-baseyear))-1,0)</f>
        <v>0</v>
      </c>
    </row>
    <row r="266" ht="12.75">
      <c r="AG266" s="194">
        <f t="shared" si="6"/>
        <v>0</v>
      </c>
    </row>
    <row r="267" ht="12.75">
      <c r="AG267" s="194">
        <f t="shared" si="6"/>
        <v>0</v>
      </c>
    </row>
    <row r="268" ht="12.75">
      <c r="AG268" s="194">
        <f t="shared" si="6"/>
        <v>0</v>
      </c>
    </row>
    <row r="269" ht="12.75">
      <c r="AG269" s="194">
        <f t="shared" si="6"/>
        <v>0</v>
      </c>
    </row>
    <row r="270" ht="12.75">
      <c r="AG270" s="194">
        <f t="shared" si="6"/>
        <v>0</v>
      </c>
    </row>
    <row r="271" ht="12.75">
      <c r="AG271" s="194">
        <f t="shared" si="6"/>
        <v>0</v>
      </c>
    </row>
    <row r="272" ht="12.75">
      <c r="AG272" s="194">
        <f t="shared" si="6"/>
        <v>0</v>
      </c>
    </row>
    <row r="273" ht="12.75">
      <c r="AG273" s="194">
        <f t="shared" si="6"/>
        <v>0</v>
      </c>
    </row>
    <row r="274" ht="12.75">
      <c r="AG274" s="194">
        <f t="shared" si="6"/>
        <v>0</v>
      </c>
    </row>
    <row r="275" ht="12.75">
      <c r="AG275" s="194">
        <f t="shared" si="6"/>
        <v>0</v>
      </c>
    </row>
    <row r="276" ht="12.75">
      <c r="AG276" s="194">
        <f t="shared" si="6"/>
        <v>0</v>
      </c>
    </row>
    <row r="277" ht="12.75">
      <c r="AG277" s="194">
        <f t="shared" si="6"/>
        <v>0</v>
      </c>
    </row>
    <row r="278" ht="12.75">
      <c r="AG278" s="194">
        <f t="shared" si="6"/>
        <v>0</v>
      </c>
    </row>
    <row r="279" ht="12.75">
      <c r="AG279" s="194">
        <f t="shared" si="6"/>
        <v>0</v>
      </c>
    </row>
    <row r="280" ht="12.75">
      <c r="AG280" s="194">
        <f t="shared" si="6"/>
        <v>0</v>
      </c>
    </row>
    <row r="281" ht="12.75">
      <c r="AG281" s="194">
        <f t="shared" si="6"/>
        <v>0</v>
      </c>
    </row>
    <row r="282" ht="12.75">
      <c r="AG282" s="194">
        <f t="shared" si="6"/>
        <v>0</v>
      </c>
    </row>
    <row r="283" ht="12.75">
      <c r="AG283" s="194">
        <f t="shared" si="6"/>
        <v>0</v>
      </c>
    </row>
    <row r="284" ht="12.75">
      <c r="AG284" s="194">
        <f t="shared" si="6"/>
        <v>0</v>
      </c>
    </row>
    <row r="285" ht="12.75">
      <c r="AG285" s="194">
        <f t="shared" si="6"/>
        <v>0</v>
      </c>
    </row>
    <row r="286" ht="12.75">
      <c r="AG286" s="194">
        <f t="shared" si="6"/>
        <v>0</v>
      </c>
    </row>
    <row r="287" ht="12.75">
      <c r="AG287" s="194">
        <f t="shared" si="6"/>
        <v>0</v>
      </c>
    </row>
    <row r="288" ht="12.75">
      <c r="AG288" s="194">
        <f t="shared" si="6"/>
        <v>0</v>
      </c>
    </row>
    <row r="289" ht="12.75">
      <c r="AG289" s="194">
        <f t="shared" si="6"/>
        <v>0</v>
      </c>
    </row>
    <row r="290" ht="12.75">
      <c r="AG290" s="194">
        <f t="shared" si="6"/>
        <v>0</v>
      </c>
    </row>
    <row r="978" ht="12.75" hidden="1"/>
    <row r="979" ht="12.75" hidden="1"/>
    <row r="980" spans="2:3" ht="12.75" hidden="1">
      <c r="B980" s="209" t="s">
        <v>568</v>
      </c>
      <c r="C980" s="285"/>
    </row>
    <row r="981" spans="2:3" ht="12.75" hidden="1">
      <c r="B981" s="206" t="s">
        <v>100</v>
      </c>
      <c r="C981" s="286"/>
    </row>
    <row r="982" spans="2:3" ht="12.75" hidden="1">
      <c r="B982" s="207" t="s">
        <v>483</v>
      </c>
      <c r="C982" s="286"/>
    </row>
    <row r="983" spans="2:3" ht="12.75" hidden="1">
      <c r="B983" s="207" t="s">
        <v>101</v>
      </c>
      <c r="C983" s="286"/>
    </row>
    <row r="984" spans="2:3" ht="12.75" hidden="1">
      <c r="B984" s="207" t="s">
        <v>102</v>
      </c>
      <c r="C984" s="286"/>
    </row>
    <row r="985" spans="2:3" ht="12.75" hidden="1">
      <c r="B985" s="207" t="s">
        <v>103</v>
      </c>
      <c r="C985" s="286"/>
    </row>
    <row r="986" spans="2:3" ht="12.75" hidden="1">
      <c r="B986" s="207" t="s">
        <v>104</v>
      </c>
      <c r="C986" s="286"/>
    </row>
    <row r="987" spans="2:3" ht="12.75" hidden="1">
      <c r="B987" s="207" t="s">
        <v>57</v>
      </c>
      <c r="C987" s="286"/>
    </row>
    <row r="988" spans="2:3" ht="12.75" hidden="1">
      <c r="B988" s="207" t="s">
        <v>105</v>
      </c>
      <c r="C988" s="286"/>
    </row>
    <row r="989" spans="2:3" ht="12.75" hidden="1">
      <c r="B989" s="208" t="s">
        <v>100</v>
      </c>
      <c r="C989" s="286"/>
    </row>
    <row r="990" ht="12.75" hidden="1"/>
    <row r="991" ht="12.75" hidden="1"/>
    <row r="992" spans="2:5" ht="12.75" hidden="1">
      <c r="B992" s="294">
        <v>2011</v>
      </c>
      <c r="C992" s="183" t="s">
        <v>204</v>
      </c>
      <c r="E992" s="183" t="s">
        <v>10</v>
      </c>
    </row>
    <row r="993" ht="12.75" hidden="1"/>
    <row r="994" ht="12.75" hidden="1"/>
  </sheetData>
  <sheetProtection selectLockedCells="1" selectUnlockedCells="1"/>
  <conditionalFormatting sqref="D41:E41">
    <cfRule type="expression" priority="1" dxfId="4" stopIfTrue="1">
      <formula>#REF!=2009</formula>
    </cfRule>
  </conditionalFormatting>
  <dataValidations count="3">
    <dataValidation type="list" allowBlank="1" showInputMessage="1" showErrorMessage="1" sqref="B7">
      <formula1>$C$992:$C$992</formula1>
    </dataValidation>
    <dataValidation type="list" allowBlank="1" showInputMessage="1" showErrorMessage="1" sqref="B6">
      <formula1>$B$992:$B$992</formula1>
    </dataValidation>
    <dataValidation type="list" allowBlank="1" showInputMessage="1" showErrorMessage="1" sqref="B5">
      <formula1>$B$981:$B$989</formula1>
    </dataValidation>
  </dataValidations>
  <hyperlinks>
    <hyperlink ref="B9" location="'Aircraft market sectors'!A1" display="Passenger and freight market sector definitions"/>
  </hyperlinks>
  <printOptions/>
  <pageMargins left="0.53" right="0.27" top="0.37" bottom="0.43" header="0.25" footer="0.18"/>
  <pageSetup fitToHeight="1" fitToWidth="1" horizontalDpi="1200" verticalDpi="1200" orientation="portrait" paperSize="9" scale="63" r:id="rId3"/>
  <headerFooter alignWithMargins="0">
    <oddFooter>&amp;L&amp;"Arial,Italic"Boeing Current Market Outlook 2009-2028&amp;R(c) Boeing 2009</oddFooter>
  </headerFooter>
  <rowBreaks count="1" manualBreakCount="1">
    <brk id="44" min="1" max="12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48"/>
    <pageSetUpPr fitToPage="1"/>
  </sheetPr>
  <dimension ref="A1:R503"/>
  <sheetViews>
    <sheetView showGridLines="0" showZero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11.421875" defaultRowHeight="12.75"/>
  <cols>
    <col min="1" max="1" width="23.00390625" style="0" bestFit="1" customWidth="1"/>
    <col min="2" max="2" width="9.140625" style="0" customWidth="1"/>
    <col min="3" max="3" width="10.8515625" style="0" customWidth="1"/>
    <col min="4" max="6" width="9.140625" style="0" customWidth="1"/>
    <col min="7" max="7" width="11.8515625" style="0" customWidth="1"/>
    <col min="8" max="16384" width="9.140625" style="0" customWidth="1"/>
  </cols>
  <sheetData>
    <row r="1" ht="15.75">
      <c r="A1" s="78" t="str">
        <f>'Region summary'!B1</f>
        <v>© Boeing 2011</v>
      </c>
    </row>
    <row r="2" ht="15.75">
      <c r="A2" s="80" t="str">
        <f>'Region summary'!B2</f>
        <v>Boeing Current Market Outlook 2011 to 2030</v>
      </c>
    </row>
    <row r="3" spans="1:6" ht="15.75">
      <c r="A3" s="78" t="str">
        <f>'Region summary'!B3</f>
        <v>Passenger and freight airplanes</v>
      </c>
      <c r="E3" s="418"/>
      <c r="F3" s="419"/>
    </row>
    <row r="5" spans="1:2" ht="14.25" customHeight="1">
      <c r="A5" t="s">
        <v>112</v>
      </c>
      <c r="B5" s="295">
        <f>'Region summary'!B6</f>
        <v>2011</v>
      </c>
    </row>
    <row r="6" spans="1:2" ht="13.5" customHeight="1">
      <c r="A6" s="9" t="s">
        <v>203</v>
      </c>
      <c r="B6" s="295" t="str">
        <f>'Region summary'!B7</f>
        <v>20 years</v>
      </c>
    </row>
    <row r="7" spans="3:5" ht="12.75">
      <c r="C7" s="21"/>
      <c r="D7" s="21"/>
      <c r="E7" s="22"/>
    </row>
    <row r="8" spans="1:5" ht="12.75">
      <c r="A8" s="35"/>
      <c r="B8" s="21"/>
      <c r="C8" s="21"/>
      <c r="D8" s="21"/>
      <c r="E8" s="22"/>
    </row>
    <row r="9" spans="1:9" ht="25.5">
      <c r="A9" s="5" t="s">
        <v>396</v>
      </c>
      <c r="B9" s="6" t="s">
        <v>483</v>
      </c>
      <c r="C9" s="6" t="s">
        <v>101</v>
      </c>
      <c r="D9" s="6" t="s">
        <v>102</v>
      </c>
      <c r="E9" s="6" t="s">
        <v>103</v>
      </c>
      <c r="F9" s="6" t="s">
        <v>104</v>
      </c>
      <c r="G9" s="6" t="s">
        <v>57</v>
      </c>
      <c r="H9" s="6" t="s">
        <v>105</v>
      </c>
      <c r="I9" s="6" t="s">
        <v>100</v>
      </c>
    </row>
    <row r="10" spans="1:9" ht="12.75">
      <c r="A10" t="s">
        <v>80</v>
      </c>
      <c r="B10" s="160">
        <f>VLOOKUP(B$9&amp;" "&amp;$B$5&amp;" "&amp;$B$6,Sheet1!$B$2:$BK$107,Sheet1!$G$107,FALSE)</f>
        <v>4.7</v>
      </c>
      <c r="C10" s="160">
        <f>VLOOKUP(C$9&amp;" "&amp;$B$5&amp;" "&amp;$B$6,Sheet1!$B$2:$BK$107,Sheet1!$G$107,FALSE)</f>
        <v>2.7</v>
      </c>
      <c r="D10" s="160">
        <f>VLOOKUP(D$9&amp;" "&amp;$B$5&amp;" "&amp;$B$6,Sheet1!$B$2:$BK$107,Sheet1!$G$107,FALSE)</f>
        <v>2</v>
      </c>
      <c r="E10" s="160">
        <f>VLOOKUP(E$9&amp;" "&amp;$B$5&amp;" "&amp;$B$6,Sheet1!$B$2:$BK$107,Sheet1!$G$107,FALSE)</f>
        <v>4.1</v>
      </c>
      <c r="F10" s="160">
        <f>VLOOKUP(F$9&amp;" "&amp;$B$5&amp;" "&amp;$B$6,Sheet1!$B$2:$BK$107,Sheet1!$G$107,FALSE)</f>
        <v>4.2</v>
      </c>
      <c r="G10" s="160">
        <f>VLOOKUP(G$9&amp;" "&amp;$B$5&amp;" "&amp;$B$6,Sheet1!$B$2:$BK$107,Sheet1!$G$107,FALSE)</f>
        <v>3.4</v>
      </c>
      <c r="H10" s="160">
        <f>VLOOKUP(H$9&amp;" "&amp;$B$5&amp;" "&amp;$B$6,Sheet1!$B$2:$BK$107,Sheet1!$G$107,FALSE)</f>
        <v>4.4</v>
      </c>
      <c r="I10" s="160">
        <f>VLOOKUP(I$9&amp;" "&amp;$B$5&amp;" "&amp;$B$6,Sheet1!$B$2:$BK$107,Sheet1!$G$107,FALSE)</f>
        <v>3.3</v>
      </c>
    </row>
    <row r="11" spans="1:9" ht="12.75">
      <c r="A11" t="s">
        <v>81</v>
      </c>
      <c r="B11" s="160">
        <f>VLOOKUP(B$9&amp;" "&amp;$B$5&amp;" "&amp;$B$6,Sheet1!$B$2:$BK$107,Sheet1!$H$107,FALSE)</f>
        <v>6.7</v>
      </c>
      <c r="C11" s="160">
        <f>VLOOKUP(C$9&amp;" "&amp;$B$5&amp;" "&amp;$B$6,Sheet1!$B$2:$BK$107,Sheet1!$H$107,FALSE)</f>
        <v>2.9</v>
      </c>
      <c r="D11" s="160">
        <f>VLOOKUP(D$9&amp;" "&amp;$B$5&amp;" "&amp;$B$6,Sheet1!$B$2:$BK$107,Sheet1!$H$107,FALSE)</f>
        <v>4.3</v>
      </c>
      <c r="E11" s="160">
        <f>VLOOKUP(E$9&amp;" "&amp;$B$5&amp;" "&amp;$B$6,Sheet1!$B$2:$BK$107,Sheet1!$H$107,FALSE)</f>
        <v>6.6</v>
      </c>
      <c r="F11" s="160">
        <f>VLOOKUP(F$9&amp;" "&amp;$B$5&amp;" "&amp;$B$6,Sheet1!$B$2:$BK$107,Sheet1!$H$107,FALSE)</f>
        <v>6.9</v>
      </c>
      <c r="G11" s="160">
        <f>VLOOKUP(G$9&amp;" "&amp;$B$5&amp;" "&amp;$B$6,Sheet1!$B$2:$BK$107,Sheet1!$H$107,FALSE)</f>
        <v>4.3</v>
      </c>
      <c r="H11" s="160">
        <f>VLOOKUP(H$9&amp;" "&amp;$B$5&amp;" "&amp;$B$6,Sheet1!$B$2:$BK$107,Sheet1!$H$107,FALSE)</f>
        <v>5.1</v>
      </c>
      <c r="I11" s="160">
        <f>VLOOKUP(I$9&amp;" "&amp;$B$5&amp;" "&amp;$B$6,Sheet1!$B$2:$BK$107,Sheet1!$H$107,FALSE)</f>
        <v>5.1</v>
      </c>
    </row>
    <row r="12" spans="1:9" ht="12.75">
      <c r="A12" t="s">
        <v>82</v>
      </c>
      <c r="B12" s="160">
        <f>VLOOKUP(B$9&amp;" "&amp;$B$5&amp;" "&amp;$B$6,Sheet1!$B$2:$BK$107,Sheet1!$I$107,FALSE)</f>
        <v>6.3</v>
      </c>
      <c r="C12" s="160">
        <f>VLOOKUP(C$9&amp;" "&amp;$B$5&amp;" "&amp;$B$6,Sheet1!$B$2:$BK$107,Sheet1!$I$107,FALSE)</f>
        <v>4.8</v>
      </c>
      <c r="D12" s="160">
        <f>VLOOKUP(D$9&amp;" "&amp;$B$5&amp;" "&amp;$B$6,Sheet1!$B$2:$BK$107,Sheet1!$I$107,FALSE)</f>
        <v>4.7</v>
      </c>
      <c r="E12" s="160">
        <f>VLOOKUP(E$9&amp;" "&amp;$B$5&amp;" "&amp;$B$6,Sheet1!$B$2:$BK$107,Sheet1!$I$107,FALSE)</f>
        <v>6.2</v>
      </c>
      <c r="F12" s="160">
        <f>VLOOKUP(F$9&amp;" "&amp;$B$5&amp;" "&amp;$B$6,Sheet1!$B$2:$BK$107,Sheet1!$I$107,FALSE)</f>
        <v>6.1</v>
      </c>
      <c r="G12" s="160">
        <f>VLOOKUP(G$9&amp;" "&amp;$B$5&amp;" "&amp;$B$6,Sheet1!$B$2:$BK$107,Sheet1!$I$107,FALSE)</f>
        <v>5.4</v>
      </c>
      <c r="H12" s="160">
        <f>VLOOKUP(H$9&amp;" "&amp;$B$5&amp;" "&amp;$B$6,Sheet1!$B$2:$BK$107,Sheet1!$I$107,FALSE)</f>
        <v>5.2</v>
      </c>
      <c r="I12" s="160">
        <f>VLOOKUP(I$9&amp;" "&amp;$B$5&amp;" "&amp;$B$6,Sheet1!$B$2:$BK$107,Sheet1!$I$107,FALSE)</f>
        <v>5.6</v>
      </c>
    </row>
    <row r="13" spans="1:9" ht="12.75">
      <c r="A13" t="s">
        <v>83</v>
      </c>
      <c r="B13" s="160">
        <f>VLOOKUP(B$9&amp;" "&amp;$B$5&amp;" "&amp;$B$6,Sheet1!$B$2:$BK$107,Sheet1!$J$107,FALSE)</f>
        <v>5.745663161189496</v>
      </c>
      <c r="C13" s="160">
        <f>VLOOKUP(C$9&amp;" "&amp;$B$5&amp;" "&amp;$B$6,Sheet1!$B$2:$BK$107,Sheet1!$J$107,FALSE)</f>
        <v>1.7381905338958337</v>
      </c>
      <c r="D13" s="160">
        <f>VLOOKUP(D$9&amp;" "&amp;$B$5&amp;" "&amp;$B$6,Sheet1!$B$2:$BK$107,Sheet1!$J$107,FALSE)</f>
        <v>3.064219870114604</v>
      </c>
      <c r="E13" s="160">
        <f>VLOOKUP(E$9&amp;" "&amp;$B$5&amp;" "&amp;$B$6,Sheet1!$B$2:$BK$107,Sheet1!$J$107,FALSE)</f>
        <v>4.905147220249595</v>
      </c>
      <c r="F13" s="160">
        <f>VLOOKUP(F$9&amp;" "&amp;$B$5&amp;" "&amp;$B$6,Sheet1!$B$2:$BK$107,Sheet1!$J$107,FALSE)</f>
        <v>5.554096543034048</v>
      </c>
      <c r="G13" s="160">
        <f>VLOOKUP(G$9&amp;" "&amp;$B$5&amp;" "&amp;$B$6,Sheet1!$B$2:$BK$107,Sheet1!$J$107,FALSE)</f>
        <v>1.0325138859215155</v>
      </c>
      <c r="H13" s="160">
        <f>VLOOKUP(H$9&amp;" "&amp;$B$5&amp;" "&amp;$B$6,Sheet1!$B$2:$BK$107,Sheet1!$J$107,FALSE)</f>
        <v>2.9233285479203897</v>
      </c>
      <c r="I13" s="160">
        <f>VLOOKUP(I$9&amp;" "&amp;$B$5&amp;" "&amp;$B$6,Sheet1!$B$2:$BK$107,Sheet1!$J$107,FALSE)</f>
        <v>3.620352164342089</v>
      </c>
    </row>
    <row r="14" spans="1:9" ht="12.75">
      <c r="A14" t="s">
        <v>375</v>
      </c>
      <c r="B14" s="160">
        <f>VLOOKUP(B$9&amp;" "&amp;$B$5&amp;" "&amp;$B$6,Sheet1!$B$2:$BK$107,Sheet1!$K$107,FALSE)</f>
        <v>0</v>
      </c>
      <c r="C14" s="160">
        <f>VLOOKUP(C$9&amp;" "&amp;$B$5&amp;" "&amp;$B$6,Sheet1!$B$2:$BK$107,Sheet1!$K$107,FALSE)</f>
        <v>0</v>
      </c>
      <c r="D14" s="160">
        <f>VLOOKUP(D$9&amp;" "&amp;$B$5&amp;" "&amp;$B$6,Sheet1!$B$2:$BK$107,Sheet1!$K$107,FALSE)</f>
        <v>0</v>
      </c>
      <c r="E14" s="160">
        <f>VLOOKUP(E$9&amp;" "&amp;$B$5&amp;" "&amp;$B$6,Sheet1!$B$2:$BK$107,Sheet1!$K$107,FALSE)</f>
        <v>0</v>
      </c>
      <c r="F14" s="160">
        <f>VLOOKUP(F$9&amp;" "&amp;$B$5&amp;" "&amp;$B$6,Sheet1!$B$2:$BK$107,Sheet1!$K$107,FALSE)</f>
        <v>0</v>
      </c>
      <c r="G14" s="160">
        <f>VLOOKUP(G$9&amp;" "&amp;$B$5&amp;" "&amp;$B$6,Sheet1!$B$2:$BK$107,Sheet1!$K$107,FALSE)</f>
        <v>0</v>
      </c>
      <c r="H14" s="160">
        <f>VLOOKUP(H$9&amp;" "&amp;$B$5&amp;" "&amp;$B$6,Sheet1!$B$2:$BK$107,Sheet1!$K$107,FALSE)</f>
        <v>0</v>
      </c>
      <c r="I14" s="160">
        <f>VLOOKUP(I$9&amp;" "&amp;$B$5&amp;" "&amp;$B$6,Sheet1!$B$2:$BK$107,Sheet1!$K$107,FALSE)</f>
        <v>0</v>
      </c>
    </row>
    <row r="15" spans="2:9" ht="12.75">
      <c r="B15" s="160"/>
      <c r="C15" s="160"/>
      <c r="D15" s="160"/>
      <c r="E15" s="160"/>
      <c r="F15" s="160"/>
      <c r="G15" s="160"/>
      <c r="H15" s="160"/>
      <c r="I15" s="160"/>
    </row>
    <row r="16" spans="1:9" ht="12.75">
      <c r="A16" s="5" t="s">
        <v>124</v>
      </c>
      <c r="B16" s="160"/>
      <c r="C16" s="160"/>
      <c r="D16" s="160"/>
      <c r="E16" s="160"/>
      <c r="F16" s="160"/>
      <c r="G16" s="160"/>
      <c r="H16" s="160"/>
      <c r="I16" s="160"/>
    </row>
    <row r="17" spans="1:9" ht="12.75">
      <c r="A17" s="8" t="s">
        <v>126</v>
      </c>
      <c r="B17" s="23">
        <f>VLOOKUP(B$9&amp;" "&amp;$B$5&amp;" "&amp;$B$6,Sheet1!$B$2:$BK$107,Sheet1!$L$107,FALSE)</f>
        <v>11450</v>
      </c>
      <c r="C17" s="23">
        <f>VLOOKUP(C$9&amp;" "&amp;$B$5&amp;" "&amp;$B$6,Sheet1!$B$2:$BK$107,Sheet1!$L$107,FALSE)</f>
        <v>7530</v>
      </c>
      <c r="D17" s="23">
        <f>VLOOKUP(D$9&amp;" "&amp;$B$5&amp;" "&amp;$B$6,Sheet1!$B$2:$BK$107,Sheet1!$L$107,FALSE)</f>
        <v>7550</v>
      </c>
      <c r="E17" s="23">
        <f>VLOOKUP(E$9&amp;" "&amp;$B$5&amp;" "&amp;$B$6,Sheet1!$B$2:$BK$107,Sheet1!$L$107,FALSE)</f>
        <v>2520</v>
      </c>
      <c r="F17" s="23">
        <f>VLOOKUP(F$9&amp;" "&amp;$B$5&amp;" "&amp;$B$6,Sheet1!$B$2:$BK$107,Sheet1!$L$107,FALSE)</f>
        <v>2570</v>
      </c>
      <c r="G17" s="23">
        <f>VLOOKUP(G$9&amp;" "&amp;$B$5&amp;" "&amp;$B$6,Sheet1!$B$2:$BK$107,Sheet1!$L$107,FALSE)</f>
        <v>1080</v>
      </c>
      <c r="H17" s="23">
        <f>VLOOKUP(H$9&amp;" "&amp;$B$5&amp;" "&amp;$B$6,Sheet1!$B$2:$BK$107,Sheet1!$L$107,FALSE)</f>
        <v>800</v>
      </c>
      <c r="I17" s="23">
        <f>VLOOKUP(I$9&amp;" "&amp;$B$5&amp;" "&amp;$B$6,Sheet1!$B$2:$BK$107,Sheet1!$L$107,FALSE)</f>
        <v>33500</v>
      </c>
    </row>
    <row r="18" spans="1:9" ht="12.75">
      <c r="A18" t="s">
        <v>127</v>
      </c>
      <c r="B18" s="23">
        <f>VLOOKUP(B$9&amp;" "&amp;$B$5&amp;" "&amp;$B$6,Sheet1!$B$2:$BK$107,Sheet1!$P$107,FALSE)</f>
        <v>1510</v>
      </c>
      <c r="C18" s="23">
        <f>VLOOKUP(C$9&amp;" "&amp;$B$5&amp;" "&amp;$B$6,Sheet1!$B$2:$BK$107,Sheet1!$P$107,FALSE)</f>
        <v>760</v>
      </c>
      <c r="D18" s="23">
        <f>VLOOKUP(D$9&amp;" "&amp;$B$5&amp;" "&amp;$B$6,Sheet1!$B$2:$BK$107,Sheet1!$P$107,FALSE)</f>
        <v>880</v>
      </c>
      <c r="E18" s="23">
        <f>VLOOKUP(E$9&amp;" "&amp;$B$5&amp;" "&amp;$B$6,Sheet1!$B$2:$BK$107,Sheet1!$P$107,FALSE)</f>
        <v>450</v>
      </c>
      <c r="F18" s="23">
        <f>VLOOKUP(F$9&amp;" "&amp;$B$5&amp;" "&amp;$B$6,Sheet1!$B$2:$BK$107,Sheet1!$P$107,FALSE)</f>
        <v>250</v>
      </c>
      <c r="G18" s="23">
        <f>VLOOKUP(G$9&amp;" "&amp;$B$5&amp;" "&amp;$B$6,Sheet1!$B$2:$BK$107,Sheet1!$P$107,FALSE)</f>
        <v>110</v>
      </c>
      <c r="H18" s="23">
        <f>VLOOKUP(H$9&amp;" "&amp;$B$5&amp;" "&amp;$B$6,Sheet1!$B$2:$BK$107,Sheet1!$P$107,FALSE)</f>
        <v>100</v>
      </c>
      <c r="I18" s="23">
        <f>VLOOKUP(I$9&amp;" "&amp;$B$5&amp;" "&amp;$B$6,Sheet1!$B$2:$BK$107,Sheet1!$P$107,FALSE)</f>
        <v>4060</v>
      </c>
    </row>
    <row r="19" spans="1:9" ht="12.75">
      <c r="A19" t="s">
        <v>593</v>
      </c>
      <c r="B19" s="23">
        <f>VLOOKUP(B$9&amp;" "&amp;$B$5&amp;" "&amp;$B$6,Sheet1!$B$2:$BK$107,Sheet1!$Q$107,FALSE)</f>
        <v>130</v>
      </c>
      <c r="C19" s="23">
        <f>VLOOKUP(C$9&amp;" "&amp;$B$5&amp;" "&amp;$B$6,Sheet1!$B$2:$BK$107,Sheet1!$Q$107,FALSE)</f>
        <v>100</v>
      </c>
      <c r="D19" s="23">
        <f>VLOOKUP(D$9&amp;" "&amp;$B$5&amp;" "&amp;$B$6,Sheet1!$B$2:$BK$107,Sheet1!$Q$107,FALSE)</f>
        <v>120</v>
      </c>
      <c r="E19" s="23">
        <f>VLOOKUP(E$9&amp;" "&amp;$B$5&amp;" "&amp;$B$6,Sheet1!$B$2:$BK$107,Sheet1!$Q$107,FALSE)</f>
        <v>180</v>
      </c>
      <c r="F19" s="23">
        <f>VLOOKUP(F$9&amp;" "&amp;$B$5&amp;" "&amp;$B$6,Sheet1!$B$2:$BK$107,Sheet1!$Q$107,FALSE)</f>
        <v>100</v>
      </c>
      <c r="G19" s="23">
        <f>VLOOKUP(G$9&amp;" "&amp;$B$5&amp;" "&amp;$B$6,Sheet1!$B$2:$BK$107,Sheet1!$Q$107,FALSE)</f>
        <v>100</v>
      </c>
      <c r="H19" s="23">
        <f>VLOOKUP(H$9&amp;" "&amp;$B$5&amp;" "&amp;$B$6,Sheet1!$B$2:$BK$107,Sheet1!$Q$107,FALSE)</f>
        <v>130</v>
      </c>
      <c r="I19" s="23">
        <f>VLOOKUP(I$9&amp;" "&amp;$B$5&amp;" "&amp;$B$6,Sheet1!$B$2:$BK$107,Sheet1!$Q$107,FALSE)</f>
        <v>120</v>
      </c>
    </row>
    <row r="21" ht="12.75">
      <c r="A21" s="5" t="s">
        <v>595</v>
      </c>
    </row>
    <row r="22" spans="1:9" ht="12.75">
      <c r="A22" t="s">
        <v>357</v>
      </c>
      <c r="B22" s="23">
        <f>VLOOKUP(B$9&amp;" "&amp;$B$5&amp;" "&amp;$B$6,Sheet1!$B$2:$BK$107,Sheet1!$R$107,FALSE)</f>
        <v>350</v>
      </c>
      <c r="C22" s="23">
        <f>VLOOKUP(C$9&amp;" "&amp;$B$5&amp;" "&amp;$B$6,Sheet1!$B$2:$BK$107,Sheet1!$R$107,FALSE)</f>
        <v>50</v>
      </c>
      <c r="D22" s="23">
        <f>VLOOKUP(D$9&amp;" "&amp;$B$5&amp;" "&amp;$B$6,Sheet1!$B$2:$BK$107,Sheet1!$R$107,FALSE)</f>
        <v>180</v>
      </c>
      <c r="E22" s="23">
        <f>VLOOKUP(E$9&amp;" "&amp;$B$5&amp;" "&amp;$B$6,Sheet1!$B$2:$BK$107,Sheet1!$R$107,FALSE)</f>
        <v>180</v>
      </c>
      <c r="F22" s="23">
        <f>VLOOKUP(F$9&amp;" "&amp;$B$5&amp;" "&amp;$B$6,Sheet1!$B$2:$BK$107,Sheet1!$R$107,FALSE)</f>
        <v>10</v>
      </c>
      <c r="G22" s="23">
        <f>VLOOKUP(G$9&amp;" "&amp;$B$5&amp;" "&amp;$B$6,Sheet1!$B$2:$BK$107,Sheet1!$R$107,FALSE)</f>
        <v>40</v>
      </c>
      <c r="H22" s="23">
        <f>VLOOKUP(H$9&amp;" "&amp;$B$5&amp;" "&amp;$B$6,Sheet1!$B$2:$BK$107,Sheet1!$R$107,FALSE)</f>
        <v>10</v>
      </c>
      <c r="I22" s="23">
        <f>VLOOKUP(I$9&amp;" "&amp;$B$5&amp;" "&amp;$B$6,Sheet1!$B$2:$BK$107,Sheet1!$R$107,FALSE)</f>
        <v>820</v>
      </c>
    </row>
    <row r="23" spans="1:9" ht="12.75">
      <c r="A23" t="s">
        <v>114</v>
      </c>
      <c r="B23" s="23">
        <f>VLOOKUP(B$9&amp;" "&amp;$B$5&amp;" "&amp;$B$6,Sheet1!$B$2:$BK$107,Sheet1!$S$107,FALSE)</f>
        <v>2920</v>
      </c>
      <c r="C23" s="23">
        <f>VLOOKUP(C$9&amp;" "&amp;$B$5&amp;" "&amp;$B$6,Sheet1!$B$2:$BK$107,Sheet1!$S$107,FALSE)</f>
        <v>1110</v>
      </c>
      <c r="D23" s="23">
        <f>VLOOKUP(D$9&amp;" "&amp;$B$5&amp;" "&amp;$B$6,Sheet1!$B$2:$BK$107,Sheet1!$S$107,FALSE)</f>
        <v>1400</v>
      </c>
      <c r="E23" s="23">
        <f>VLOOKUP(E$9&amp;" "&amp;$B$5&amp;" "&amp;$B$6,Sheet1!$B$2:$BK$107,Sheet1!$S$107,FALSE)</f>
        <v>1110</v>
      </c>
      <c r="F23" s="23">
        <f>VLOOKUP(F$9&amp;" "&amp;$B$5&amp;" "&amp;$B$6,Sheet1!$B$2:$BK$107,Sheet1!$S$107,FALSE)</f>
        <v>360</v>
      </c>
      <c r="G23" s="23">
        <f>VLOOKUP(G$9&amp;" "&amp;$B$5&amp;" "&amp;$B$6,Sheet1!$B$2:$BK$107,Sheet1!$S$107,FALSE)</f>
        <v>200</v>
      </c>
      <c r="H23" s="23">
        <f>VLOOKUP(H$9&amp;" "&amp;$B$5&amp;" "&amp;$B$6,Sheet1!$B$2:$BK$107,Sheet1!$S$107,FALSE)</f>
        <v>230</v>
      </c>
      <c r="I23" s="23">
        <f>VLOOKUP(I$9&amp;" "&amp;$B$5&amp;" "&amp;$B$6,Sheet1!$B$2:$BK$107,Sheet1!$S$107,FALSE)</f>
        <v>7330</v>
      </c>
    </row>
    <row r="24" spans="1:9" ht="12.75">
      <c r="A24" t="s">
        <v>115</v>
      </c>
      <c r="B24" s="23">
        <f>VLOOKUP(B$9&amp;" "&amp;$B$5&amp;" "&amp;$B$6,Sheet1!$B$2:$BK$107,Sheet1!$T$107,FALSE)</f>
        <v>7680</v>
      </c>
      <c r="C24" s="23">
        <f>VLOOKUP(C$9&amp;" "&amp;$B$5&amp;" "&amp;$B$6,Sheet1!$B$2:$BK$107,Sheet1!$T$107,FALSE)</f>
        <v>5540</v>
      </c>
      <c r="D24" s="23">
        <f>VLOOKUP(D$9&amp;" "&amp;$B$5&amp;" "&amp;$B$6,Sheet1!$B$2:$BK$107,Sheet1!$T$107,FALSE)</f>
        <v>5660</v>
      </c>
      <c r="E24" s="23">
        <f>VLOOKUP(E$9&amp;" "&amp;$B$5&amp;" "&amp;$B$6,Sheet1!$B$2:$BK$107,Sheet1!$T$107,FALSE)</f>
        <v>1160</v>
      </c>
      <c r="F24" s="23">
        <f>VLOOKUP(F$9&amp;" "&amp;$B$5&amp;" "&amp;$B$6,Sheet1!$B$2:$BK$107,Sheet1!$T$107,FALSE)</f>
        <v>2140</v>
      </c>
      <c r="G24" s="23">
        <f>VLOOKUP(G$9&amp;" "&amp;$B$5&amp;" "&amp;$B$6,Sheet1!$B$2:$BK$107,Sheet1!$T$107,FALSE)</f>
        <v>680</v>
      </c>
      <c r="H24" s="23">
        <f>VLOOKUP(H$9&amp;" "&amp;$B$5&amp;" "&amp;$B$6,Sheet1!$B$2:$BK$107,Sheet1!$T$107,FALSE)</f>
        <v>510</v>
      </c>
      <c r="I24" s="23">
        <f>VLOOKUP(I$9&amp;" "&amp;$B$5&amp;" "&amp;$B$6,Sheet1!$B$2:$BK$107,Sheet1!$T$107,FALSE)</f>
        <v>23370</v>
      </c>
    </row>
    <row r="25" spans="1:9" ht="12.75">
      <c r="A25" t="s">
        <v>116</v>
      </c>
      <c r="B25" s="23">
        <f>VLOOKUP(B$9&amp;" "&amp;$B$5&amp;" "&amp;$B$6,Sheet1!$B$2:$BK$107,Sheet1!$U$107,FALSE)</f>
        <v>500</v>
      </c>
      <c r="C25" s="23">
        <f>VLOOKUP(C$9&amp;" "&amp;$B$5&amp;" "&amp;$B$6,Sheet1!$B$2:$BK$107,Sheet1!$U$107,FALSE)</f>
        <v>830</v>
      </c>
      <c r="D25" s="23">
        <f>VLOOKUP(D$9&amp;" "&amp;$B$5&amp;" "&amp;$B$6,Sheet1!$B$2:$BK$107,Sheet1!$U$107,FALSE)</f>
        <v>310</v>
      </c>
      <c r="E25" s="23">
        <f>VLOOKUP(E$9&amp;" "&amp;$B$5&amp;" "&amp;$B$6,Sheet1!$B$2:$BK$107,Sheet1!$U$107,FALSE)</f>
        <v>70</v>
      </c>
      <c r="F25" s="23">
        <f>VLOOKUP(F$9&amp;" "&amp;$B$5&amp;" "&amp;$B$6,Sheet1!$B$2:$BK$107,Sheet1!$U$107,FALSE)</f>
        <v>60</v>
      </c>
      <c r="G25" s="23">
        <f>VLOOKUP(G$9&amp;" "&amp;$B$5&amp;" "&amp;$B$6,Sheet1!$B$2:$BK$107,Sheet1!$U$107,FALSE)</f>
        <v>160</v>
      </c>
      <c r="H25" s="23">
        <f>VLOOKUP(H$9&amp;" "&amp;$B$5&amp;" "&amp;$B$6,Sheet1!$B$2:$BK$107,Sheet1!$U$107,FALSE)</f>
        <v>50</v>
      </c>
      <c r="I25" s="23">
        <f>VLOOKUP(I$9&amp;" "&amp;$B$5&amp;" "&amp;$B$6,Sheet1!$B$2:$BK$107,Sheet1!$U$107,FALSE)</f>
        <v>1980</v>
      </c>
    </row>
    <row r="26" spans="1:9" ht="12.75">
      <c r="A26" t="s">
        <v>120</v>
      </c>
      <c r="B26" s="23">
        <f>VLOOKUP(B$9&amp;" "&amp;$B$5&amp;" "&amp;$B$6,Sheet1!$B$2:$BK$107,Sheet1!$L$107,FALSE)</f>
        <v>11450</v>
      </c>
      <c r="C26" s="23">
        <f>VLOOKUP(C$9&amp;" "&amp;$B$5&amp;" "&amp;$B$6,Sheet1!$B$2:$BK$107,Sheet1!$L$107,FALSE)</f>
        <v>7530</v>
      </c>
      <c r="D26" s="23">
        <f>VLOOKUP(D$9&amp;" "&amp;$B$5&amp;" "&amp;$B$6,Sheet1!$B$2:$BK$107,Sheet1!$L$107,FALSE)</f>
        <v>7550</v>
      </c>
      <c r="E26" s="23">
        <f>VLOOKUP(E$9&amp;" "&amp;$B$5&amp;" "&amp;$B$6,Sheet1!$B$2:$BK$107,Sheet1!$L$107,FALSE)</f>
        <v>2520</v>
      </c>
      <c r="F26" s="23">
        <f>VLOOKUP(F$9&amp;" "&amp;$B$5&amp;" "&amp;$B$6,Sheet1!$B$2:$BK$107,Sheet1!$L$107,FALSE)</f>
        <v>2570</v>
      </c>
      <c r="G26" s="23">
        <f>VLOOKUP(G$9&amp;" "&amp;$B$5&amp;" "&amp;$B$6,Sheet1!$B$2:$BK$107,Sheet1!$L$107,FALSE)</f>
        <v>1080</v>
      </c>
      <c r="H26" s="23">
        <f>VLOOKUP(H$9&amp;" "&amp;$B$5&amp;" "&amp;$B$6,Sheet1!$B$2:$BK$107,Sheet1!$L$107,FALSE)</f>
        <v>800</v>
      </c>
      <c r="I26" s="23">
        <f>VLOOKUP(I$9&amp;" "&amp;$B$5&amp;" "&amp;$B$6,Sheet1!$B$2:$BK$107,Sheet1!$L$107,FALSE)</f>
        <v>33500</v>
      </c>
    </row>
    <row r="27" spans="2:9" ht="12.75"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5" t="str">
        <f>"Forecast new airplane value (Catalog prices, $ "&amp;baseyear&amp;")"</f>
        <v>Forecast new airplane value (Catalog prices, $ 2010)</v>
      </c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161" t="s">
        <v>357</v>
      </c>
      <c r="B29" s="23">
        <f>VLOOKUP(B$9&amp;" "&amp;$B$5&amp;" "&amp;$B$6,Sheet1!$B$2:$BK$107,Sheet1!$BH$107,FALSE)</f>
        <v>120</v>
      </c>
      <c r="C29" s="23">
        <f>VLOOKUP(C$9&amp;" "&amp;$B$5&amp;" "&amp;$B$6,Sheet1!$B$2:$BK$107,Sheet1!$BH$107,FALSE)</f>
        <v>20</v>
      </c>
      <c r="D29" s="23">
        <f>VLOOKUP(D$9&amp;" "&amp;$B$5&amp;" "&amp;$B$6,Sheet1!$B$2:$BK$107,Sheet1!$BH$107,FALSE)</f>
        <v>60</v>
      </c>
      <c r="E29" s="23">
        <f>VLOOKUP(E$9&amp;" "&amp;$B$5&amp;" "&amp;$B$6,Sheet1!$B$2:$BK$107,Sheet1!$BH$107,FALSE)</f>
        <v>60</v>
      </c>
      <c r="F29" s="23">
        <f>VLOOKUP(F$9&amp;" "&amp;$B$5&amp;" "&amp;$B$6,Sheet1!$B$2:$BK$107,Sheet1!$BH$107,FALSE)</f>
        <v>3</v>
      </c>
      <c r="G29" s="23">
        <f>VLOOKUP(G$9&amp;" "&amp;$B$5&amp;" "&amp;$B$6,Sheet1!$B$2:$BK$107,Sheet1!$BH$107,FALSE)</f>
        <v>10</v>
      </c>
      <c r="H29" s="23">
        <f>VLOOKUP(H$9&amp;" "&amp;$B$5&amp;" "&amp;$B$6,Sheet1!$B$2:$BK$107,Sheet1!$BH$107,FALSE)</f>
        <v>2</v>
      </c>
      <c r="I29" s="23">
        <f>VLOOKUP(I$9&amp;" "&amp;$B$5&amp;" "&amp;$B$6,Sheet1!$B$2:$BK$107,Sheet1!$BH$107,FALSE)</f>
        <v>270</v>
      </c>
    </row>
    <row r="30" spans="1:9" ht="12.75">
      <c r="A30" s="161" t="s">
        <v>114</v>
      </c>
      <c r="B30" s="23">
        <f>VLOOKUP(B$9&amp;" "&amp;$B$5&amp;" "&amp;$B$6,Sheet1!$B$2:$BK$107,Sheet1!$BI$107,FALSE)</f>
        <v>710</v>
      </c>
      <c r="C30" s="23">
        <f>VLOOKUP(C$9&amp;" "&amp;$B$5&amp;" "&amp;$B$6,Sheet1!$B$2:$BK$107,Sheet1!$BI$107,FALSE)</f>
        <v>270</v>
      </c>
      <c r="D30" s="23">
        <f>VLOOKUP(D$9&amp;" "&amp;$B$5&amp;" "&amp;$B$6,Sheet1!$B$2:$BK$107,Sheet1!$BI$107,FALSE)</f>
        <v>330</v>
      </c>
      <c r="E30" s="23">
        <f>VLOOKUP(E$9&amp;" "&amp;$B$5&amp;" "&amp;$B$6,Sheet1!$B$2:$BK$107,Sheet1!$BI$107,FALSE)</f>
        <v>280</v>
      </c>
      <c r="F30" s="23">
        <f>VLOOKUP(F$9&amp;" "&amp;$B$5&amp;" "&amp;$B$6,Sheet1!$B$2:$BK$107,Sheet1!$BI$107,FALSE)</f>
        <v>90</v>
      </c>
      <c r="G30" s="23">
        <f>VLOOKUP(G$9&amp;" "&amp;$B$5&amp;" "&amp;$B$6,Sheet1!$B$2:$BK$107,Sheet1!$BI$107,FALSE)</f>
        <v>30</v>
      </c>
      <c r="H30" s="23">
        <f>VLOOKUP(H$9&amp;" "&amp;$B$5&amp;" "&amp;$B$6,Sheet1!$B$2:$BK$107,Sheet1!$BI$107,FALSE)</f>
        <v>60</v>
      </c>
      <c r="I30" s="23">
        <f>VLOOKUP(I$9&amp;" "&amp;$B$5&amp;" "&amp;$B$6,Sheet1!$B$2:$BK$107,Sheet1!$BI$107,FALSE)</f>
        <v>1770</v>
      </c>
    </row>
    <row r="31" spans="1:9" ht="12.75">
      <c r="A31" s="161" t="s">
        <v>115</v>
      </c>
      <c r="B31" s="23">
        <f>VLOOKUP(B$9&amp;" "&amp;$B$5&amp;" "&amp;$B$6,Sheet1!$B$2:$BK$107,Sheet1!$BJ$107,FALSE)</f>
        <v>670</v>
      </c>
      <c r="C31" s="23">
        <f>VLOOKUP(C$9&amp;" "&amp;$B$5&amp;" "&amp;$B$6,Sheet1!$B$2:$BK$107,Sheet1!$BJ$107,FALSE)</f>
        <v>440</v>
      </c>
      <c r="D31" s="23">
        <f>VLOOKUP(D$9&amp;" "&amp;$B$5&amp;" "&amp;$B$6,Sheet1!$B$2:$BK$107,Sheet1!$BJ$107,FALSE)</f>
        <v>480</v>
      </c>
      <c r="E31" s="23">
        <f>VLOOKUP(E$9&amp;" "&amp;$B$5&amp;" "&amp;$B$6,Sheet1!$B$2:$BK$107,Sheet1!$BJ$107,FALSE)</f>
        <v>100</v>
      </c>
      <c r="F31" s="23">
        <f>VLOOKUP(F$9&amp;" "&amp;$B$5&amp;" "&amp;$B$6,Sheet1!$B$2:$BK$107,Sheet1!$BJ$107,FALSE)</f>
        <v>160</v>
      </c>
      <c r="G31" s="23">
        <f>VLOOKUP(G$9&amp;" "&amp;$B$5&amp;" "&amp;$B$6,Sheet1!$B$2:$BK$107,Sheet1!$BJ$107,FALSE)</f>
        <v>60</v>
      </c>
      <c r="H31" s="23">
        <f>VLOOKUP(H$9&amp;" "&amp;$B$5&amp;" "&amp;$B$6,Sheet1!$B$2:$BK$107,Sheet1!$BJ$107,FALSE)</f>
        <v>40</v>
      </c>
      <c r="I31" s="23">
        <f>VLOOKUP(I$9&amp;" "&amp;$B$5&amp;" "&amp;$B$6,Sheet1!$B$2:$BK$107,Sheet1!$BJ$107,FALSE)</f>
        <v>1950</v>
      </c>
    </row>
    <row r="32" spans="1:9" ht="12.75">
      <c r="A32" s="161" t="s">
        <v>116</v>
      </c>
      <c r="B32" s="23">
        <f>VLOOKUP(B$9&amp;" "&amp;$B$5&amp;" "&amp;$B$6,Sheet1!$B$2:$BK$107,Sheet1!$BB$107,FALSE)</f>
        <v>10</v>
      </c>
      <c r="C32" s="23">
        <f>VLOOKUP(C$9&amp;" "&amp;$B$5&amp;" "&amp;$B$6,Sheet1!$B$2:$BK$107,Sheet1!$BB$107,FALSE)</f>
        <v>30</v>
      </c>
      <c r="D32" s="23">
        <f>VLOOKUP(D$9&amp;" "&amp;$B$5&amp;" "&amp;$B$6,Sheet1!$B$2:$BK$107,Sheet1!$BB$107,FALSE)</f>
        <v>10</v>
      </c>
      <c r="E32" s="23">
        <f>VLOOKUP(E$9&amp;" "&amp;$B$5&amp;" "&amp;$B$6,Sheet1!$B$2:$BK$107,Sheet1!$BB$107,FALSE)</f>
        <v>10</v>
      </c>
      <c r="F32" s="23">
        <f>VLOOKUP(F$9&amp;" "&amp;$B$5&amp;" "&amp;$B$6,Sheet1!$B$2:$BK$107,Sheet1!$BB$107,FALSE)</f>
        <v>2</v>
      </c>
      <c r="G32" s="23">
        <f>VLOOKUP(G$9&amp;" "&amp;$B$5&amp;" "&amp;$B$6,Sheet1!$B$2:$BK$107,Sheet1!$BB$107,FALSE)</f>
        <v>10</v>
      </c>
      <c r="H32" s="23">
        <f>VLOOKUP(H$9&amp;" "&amp;$B$5&amp;" "&amp;$B$6,Sheet1!$B$2:$BK$107,Sheet1!$BB$107,FALSE)</f>
        <v>2</v>
      </c>
      <c r="I32" s="23">
        <f>VLOOKUP(I$9&amp;" "&amp;$B$5&amp;" "&amp;$B$6,Sheet1!$B$2:$BK$107,Sheet1!$BB$107,FALSE)</f>
        <v>70</v>
      </c>
    </row>
    <row r="33" spans="1:9" ht="12.75">
      <c r="A33" s="2" t="s">
        <v>493</v>
      </c>
      <c r="B33" s="23">
        <f>VLOOKUP(B$9&amp;" "&amp;$B$5&amp;" "&amp;$B$6,Sheet1!$B$2:$BK$107,Sheet1!$P$107,FALSE)</f>
        <v>1510</v>
      </c>
      <c r="C33" s="23">
        <f>VLOOKUP(C$9&amp;" "&amp;$B$5&amp;" "&amp;$B$6,Sheet1!$B$2:$BK$107,Sheet1!$P$107,FALSE)</f>
        <v>760</v>
      </c>
      <c r="D33" s="23">
        <f>VLOOKUP(D$9&amp;" "&amp;$B$5&amp;" "&amp;$B$6,Sheet1!$B$2:$BK$107,Sheet1!$P$107,FALSE)</f>
        <v>880</v>
      </c>
      <c r="E33" s="23">
        <f>VLOOKUP(E$9&amp;" "&amp;$B$5&amp;" "&amp;$B$6,Sheet1!$B$2:$BK$107,Sheet1!$P$107,FALSE)</f>
        <v>450</v>
      </c>
      <c r="F33" s="23">
        <f>VLOOKUP(F$9&amp;" "&amp;$B$5&amp;" "&amp;$B$6,Sheet1!$B$2:$BK$107,Sheet1!$P$107,FALSE)</f>
        <v>250</v>
      </c>
      <c r="G33" s="23">
        <f>VLOOKUP(G$9&amp;" "&amp;$B$5&amp;" "&amp;$B$6,Sheet1!$B$2:$BK$107,Sheet1!$P$107,FALSE)</f>
        <v>110</v>
      </c>
      <c r="H33" s="23">
        <f>VLOOKUP(H$9&amp;" "&amp;$B$5&amp;" "&amp;$B$6,Sheet1!$B$2:$BK$107,Sheet1!$P$107,FALSE)</f>
        <v>100</v>
      </c>
      <c r="I33" s="23">
        <f>VLOOKUP(I$9&amp;" "&amp;$B$5&amp;" "&amp;$B$6,Sheet1!$B$2:$BK$107,Sheet1!$P$107,FALSE)</f>
        <v>4060</v>
      </c>
    </row>
    <row r="34" spans="2:9" ht="12.75"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5" t="str">
        <f>"Fleet in "&amp;baseyear</f>
        <v>Fleet in 2010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t="s">
        <v>357</v>
      </c>
      <c r="B36" s="23">
        <f>VLOOKUP(B$9&amp;" "&amp;$B$5&amp;" "&amp;$B$6,Sheet1!$B$2:$BK$107,Sheet1!$AB$107,FALSE)</f>
        <v>340</v>
      </c>
      <c r="C36" s="23">
        <f>VLOOKUP(C$9&amp;" "&amp;$B$5&amp;" "&amp;$B$6,Sheet1!$B$2:$BK$107,Sheet1!$AB$107,FALSE)</f>
        <v>110</v>
      </c>
      <c r="D36" s="23">
        <f>VLOOKUP(D$9&amp;" "&amp;$B$5&amp;" "&amp;$B$6,Sheet1!$B$2:$BK$107,Sheet1!$AB$107,FALSE)</f>
        <v>180</v>
      </c>
      <c r="E36" s="23">
        <f>VLOOKUP(E$9&amp;" "&amp;$B$5&amp;" "&amp;$B$6,Sheet1!$B$2:$BK$107,Sheet1!$AB$107,FALSE)</f>
        <v>70</v>
      </c>
      <c r="F36" s="23">
        <f>VLOOKUP(F$9&amp;" "&amp;$B$5&amp;" "&amp;$B$6,Sheet1!$B$2:$BK$107,Sheet1!$AB$107,FALSE)</f>
        <v>10</v>
      </c>
      <c r="G36" s="23">
        <f>VLOOKUP(G$9&amp;" "&amp;$B$5&amp;" "&amp;$B$6,Sheet1!$B$2:$BK$107,Sheet1!$AB$107,FALSE)</f>
        <v>50</v>
      </c>
      <c r="H36" s="23">
        <f>VLOOKUP(H$9&amp;" "&amp;$B$5&amp;" "&amp;$B$6,Sheet1!$B$2:$BK$107,Sheet1!$AB$107,FALSE)</f>
        <v>10</v>
      </c>
      <c r="I36" s="23">
        <f>VLOOKUP(I$9&amp;" "&amp;$B$5&amp;" "&amp;$B$6,Sheet1!$B$2:$BK$107,Sheet1!$AB$107,FALSE)</f>
        <v>770</v>
      </c>
    </row>
    <row r="37" spans="1:9" ht="12.75">
      <c r="A37" t="s">
        <v>114</v>
      </c>
      <c r="B37" s="23">
        <f>VLOOKUP(B$9&amp;" "&amp;$B$5&amp;" "&amp;$B$6,Sheet1!$B$2:$BK$107,Sheet1!$AC$107,FALSE)</f>
        <v>1050</v>
      </c>
      <c r="C37" s="23">
        <f>VLOOKUP(C$9&amp;" "&amp;$B$5&amp;" "&amp;$B$6,Sheet1!$B$2:$BK$107,Sheet1!$AC$107,FALSE)</f>
        <v>1000</v>
      </c>
      <c r="D37" s="23">
        <f>VLOOKUP(D$9&amp;" "&amp;$B$5&amp;" "&amp;$B$6,Sheet1!$B$2:$BK$107,Sheet1!$AC$107,FALSE)</f>
        <v>670</v>
      </c>
      <c r="E37" s="23">
        <f>VLOOKUP(E$9&amp;" "&amp;$B$5&amp;" "&amp;$B$6,Sheet1!$B$2:$BK$107,Sheet1!$AC$107,FALSE)</f>
        <v>440</v>
      </c>
      <c r="F37" s="23">
        <f>VLOOKUP(F$9&amp;" "&amp;$B$5&amp;" "&amp;$B$6,Sheet1!$B$2:$BK$107,Sheet1!$AC$107,FALSE)</f>
        <v>140</v>
      </c>
      <c r="G37" s="23">
        <f>VLOOKUP(G$9&amp;" "&amp;$B$5&amp;" "&amp;$B$6,Sheet1!$B$2:$BK$107,Sheet1!$AC$107,FALSE)</f>
        <v>200</v>
      </c>
      <c r="H37" s="23">
        <f>VLOOKUP(H$9&amp;" "&amp;$B$5&amp;" "&amp;$B$6,Sheet1!$B$2:$BK$107,Sheet1!$AC$107,FALSE)</f>
        <v>140</v>
      </c>
      <c r="I37" s="23">
        <f>VLOOKUP(I$9&amp;" "&amp;$B$5&amp;" "&amp;$B$6,Sheet1!$B$2:$BK$107,Sheet1!$AC$107,FALSE)</f>
        <v>3640</v>
      </c>
    </row>
    <row r="38" spans="1:9" ht="12.75">
      <c r="A38" t="s">
        <v>115</v>
      </c>
      <c r="B38" s="23">
        <f>VLOOKUP(B$9&amp;" "&amp;$B$5&amp;" "&amp;$B$6,Sheet1!$B$2:$BK$107,Sheet1!$AD$107,FALSE)</f>
        <v>2860</v>
      </c>
      <c r="C38" s="23">
        <f>VLOOKUP(C$9&amp;" "&amp;$B$5&amp;" "&amp;$B$6,Sheet1!$B$2:$BK$107,Sheet1!$AD$107,FALSE)</f>
        <v>3720</v>
      </c>
      <c r="D38" s="23">
        <f>VLOOKUP(D$9&amp;" "&amp;$B$5&amp;" "&amp;$B$6,Sheet1!$B$2:$BK$107,Sheet1!$AD$107,FALSE)</f>
        <v>3090</v>
      </c>
      <c r="E38" s="23">
        <f>VLOOKUP(E$9&amp;" "&amp;$B$5&amp;" "&amp;$B$6,Sheet1!$B$2:$BK$107,Sheet1!$AD$107,FALSE)</f>
        <v>480</v>
      </c>
      <c r="F38" s="23">
        <f>VLOOKUP(F$9&amp;" "&amp;$B$5&amp;" "&amp;$B$6,Sheet1!$B$2:$BK$107,Sheet1!$AD$107,FALSE)</f>
        <v>900</v>
      </c>
      <c r="G38" s="23">
        <f>VLOOKUP(G$9&amp;" "&amp;$B$5&amp;" "&amp;$B$6,Sheet1!$B$2:$BK$107,Sheet1!$AD$107,FALSE)</f>
        <v>630</v>
      </c>
      <c r="H38" s="23">
        <f>VLOOKUP(H$9&amp;" "&amp;$B$5&amp;" "&amp;$B$6,Sheet1!$B$2:$BK$107,Sheet1!$AD$107,FALSE)</f>
        <v>420</v>
      </c>
      <c r="I38" s="23">
        <f>VLOOKUP(I$9&amp;" "&amp;$B$5&amp;" "&amp;$B$6,Sheet1!$B$2:$BK$107,Sheet1!$AD$107,FALSE)</f>
        <v>12100</v>
      </c>
    </row>
    <row r="39" spans="1:9" ht="12.75">
      <c r="A39" t="s">
        <v>116</v>
      </c>
      <c r="B39" s="23">
        <f>VLOOKUP(B$9&amp;" "&amp;$B$5&amp;" "&amp;$B$6,Sheet1!$B$2:$BK$107,Sheet1!$AE$107,FALSE)</f>
        <v>160</v>
      </c>
      <c r="C39" s="23">
        <f>VLOOKUP(C$9&amp;" "&amp;$B$5&amp;" "&amp;$B$6,Sheet1!$B$2:$BK$107,Sheet1!$AE$107,FALSE)</f>
        <v>1780</v>
      </c>
      <c r="D39" s="23">
        <f>VLOOKUP(D$9&amp;" "&amp;$B$5&amp;" "&amp;$B$6,Sheet1!$B$2:$BK$107,Sheet1!$AE$107,FALSE)</f>
        <v>440</v>
      </c>
      <c r="E39" s="23">
        <f>VLOOKUP(E$9&amp;" "&amp;$B$5&amp;" "&amp;$B$6,Sheet1!$B$2:$BK$107,Sheet1!$AE$107,FALSE)</f>
        <v>50</v>
      </c>
      <c r="F39" s="23">
        <f>VLOOKUP(F$9&amp;" "&amp;$B$5&amp;" "&amp;$B$6,Sheet1!$B$2:$BK$107,Sheet1!$AE$107,FALSE)</f>
        <v>100</v>
      </c>
      <c r="G39" s="23">
        <f>VLOOKUP(G$9&amp;" "&amp;$B$5&amp;" "&amp;$B$6,Sheet1!$B$2:$BK$107,Sheet1!$AE$107,FALSE)</f>
        <v>260</v>
      </c>
      <c r="H39" s="23">
        <f>VLOOKUP(H$9&amp;" "&amp;$B$5&amp;" "&amp;$B$6,Sheet1!$B$2:$BK$107,Sheet1!$AE$107,FALSE)</f>
        <v>110</v>
      </c>
      <c r="I39" s="23">
        <f>VLOOKUP(I$9&amp;" "&amp;$B$5&amp;" "&amp;$B$6,Sheet1!$B$2:$BK$107,Sheet1!$AE$107,FALSE)</f>
        <v>2900</v>
      </c>
    </row>
    <row r="40" spans="1:9" ht="12.75">
      <c r="A40" t="s">
        <v>119</v>
      </c>
      <c r="B40" s="23">
        <f>VLOOKUP(B$9&amp;" "&amp;$B$5&amp;" "&amp;$B$6,Sheet1!$B$2:$BK$107,Sheet1!$Z$107,FALSE)</f>
        <v>4410</v>
      </c>
      <c r="C40" s="23">
        <f>VLOOKUP(C$9&amp;" "&amp;$B$5&amp;" "&amp;$B$6,Sheet1!$B$2:$BK$107,Sheet1!$Z$107,FALSE)</f>
        <v>6610</v>
      </c>
      <c r="D40" s="23">
        <f>VLOOKUP(D$9&amp;" "&amp;$B$5&amp;" "&amp;$B$6,Sheet1!$B$2:$BK$107,Sheet1!$Z$107,FALSE)</f>
        <v>4380</v>
      </c>
      <c r="E40" s="23">
        <f>VLOOKUP(E$9&amp;" "&amp;$B$5&amp;" "&amp;$B$6,Sheet1!$B$2:$BK$107,Sheet1!$Z$107,FALSE)</f>
        <v>1040</v>
      </c>
      <c r="F40" s="23">
        <f>VLOOKUP(F$9&amp;" "&amp;$B$5&amp;" "&amp;$B$6,Sheet1!$B$2:$BK$107,Sheet1!$Z$107,FALSE)</f>
        <v>1150</v>
      </c>
      <c r="G40" s="23">
        <f>VLOOKUP(G$9&amp;" "&amp;$B$5&amp;" "&amp;$B$6,Sheet1!$B$2:$BK$107,Sheet1!$Z$107,FALSE)</f>
        <v>1140</v>
      </c>
      <c r="H40" s="23">
        <f>VLOOKUP(H$9&amp;" "&amp;$B$5&amp;" "&amp;$B$6,Sheet1!$B$2:$BK$107,Sheet1!$Z$107,FALSE)</f>
        <v>680</v>
      </c>
      <c r="I40" s="23">
        <f>VLOOKUP(I$9&amp;" "&amp;$B$5&amp;" "&amp;$B$6,Sheet1!$B$2:$BK$107,Sheet1!$Z$107,FALSE)</f>
        <v>19410</v>
      </c>
    </row>
    <row r="41" spans="2:9" ht="12.75">
      <c r="B41" s="23"/>
      <c r="C41" s="23"/>
      <c r="D41" s="23"/>
      <c r="E41" s="23"/>
      <c r="F41" s="23"/>
      <c r="G41" s="23"/>
      <c r="H41" s="23"/>
      <c r="I41" s="23"/>
    </row>
    <row r="42" spans="1:18" ht="12.75">
      <c r="A42" s="5" t="str">
        <f>"Fleet in "&amp;baseyear+20</f>
        <v>Fleet in 2030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9" ht="12.75">
      <c r="A43" t="s">
        <v>357</v>
      </c>
      <c r="B43" s="23">
        <f>VLOOKUP(B$9&amp;" "&amp;$B$5&amp;" "&amp;$B$6,Sheet1!$B$2:$BK$107,Sheet1!$AF$107,FALSE)</f>
        <v>510</v>
      </c>
      <c r="C43" s="23">
        <f>VLOOKUP(C$9&amp;" "&amp;$B$5&amp;" "&amp;$B$6,Sheet1!$B$2:$BK$107,Sheet1!$AF$107,FALSE)</f>
        <v>140</v>
      </c>
      <c r="D43" s="23">
        <f>VLOOKUP(D$9&amp;" "&amp;$B$5&amp;" "&amp;$B$6,Sheet1!$B$2:$BK$107,Sheet1!$AF$107,FALSE)</f>
        <v>220</v>
      </c>
      <c r="E43" s="23">
        <f>VLOOKUP(E$9&amp;" "&amp;$B$5&amp;" "&amp;$B$6,Sheet1!$B$2:$BK$107,Sheet1!$AF$107,FALSE)</f>
        <v>200</v>
      </c>
      <c r="F43" s="23">
        <f>VLOOKUP(F$9&amp;" "&amp;$B$5&amp;" "&amp;$B$6,Sheet1!$B$2:$BK$107,Sheet1!$AF$107,FALSE)</f>
        <v>10</v>
      </c>
      <c r="G43" s="23">
        <f>VLOOKUP(G$9&amp;" "&amp;$B$5&amp;" "&amp;$B$6,Sheet1!$B$2:$BK$107,Sheet1!$AF$107,FALSE)</f>
        <v>50</v>
      </c>
      <c r="H43" s="23">
        <f>VLOOKUP(H$9&amp;" "&amp;$B$5&amp;" "&amp;$B$6,Sheet1!$B$2:$BK$107,Sheet1!$AF$107,FALSE)</f>
        <v>10</v>
      </c>
      <c r="I43" s="23">
        <f>VLOOKUP(I$9&amp;" "&amp;$B$5&amp;" "&amp;$B$6,Sheet1!$B$2:$BK$107,Sheet1!$AF$107,FALSE)</f>
        <v>1140</v>
      </c>
    </row>
    <row r="44" spans="1:9" ht="12.75">
      <c r="A44" t="s">
        <v>114</v>
      </c>
      <c r="B44" s="23">
        <f>VLOOKUP(B$9&amp;" "&amp;$B$5&amp;" "&amp;$B$6,Sheet1!$B$2:$BK$107,Sheet1!$AG$107,FALSE)</f>
        <v>3280</v>
      </c>
      <c r="C44" s="23">
        <f>VLOOKUP(C$9&amp;" "&amp;$B$5&amp;" "&amp;$B$6,Sheet1!$B$2:$BK$107,Sheet1!$AG$107,FALSE)</f>
        <v>1630</v>
      </c>
      <c r="D44" s="23">
        <f>VLOOKUP(D$9&amp;" "&amp;$B$5&amp;" "&amp;$B$6,Sheet1!$B$2:$BK$107,Sheet1!$AG$107,FALSE)</f>
        <v>1560</v>
      </c>
      <c r="E44" s="23">
        <f>VLOOKUP(E$9&amp;" "&amp;$B$5&amp;" "&amp;$B$6,Sheet1!$B$2:$BK$107,Sheet1!$AG$107,FALSE)</f>
        <v>1120</v>
      </c>
      <c r="F44" s="23">
        <f>VLOOKUP(F$9&amp;" "&amp;$B$5&amp;" "&amp;$B$6,Sheet1!$B$2:$BK$107,Sheet1!$AG$107,FALSE)</f>
        <v>410</v>
      </c>
      <c r="G44" s="23">
        <f>VLOOKUP(G$9&amp;" "&amp;$B$5&amp;" "&amp;$B$6,Sheet1!$B$2:$BK$107,Sheet1!$AG$107,FALSE)</f>
        <v>250</v>
      </c>
      <c r="H44" s="23">
        <f>VLOOKUP(H$9&amp;" "&amp;$B$5&amp;" "&amp;$B$6,Sheet1!$B$2:$BK$107,Sheet1!$AG$107,FALSE)</f>
        <v>320</v>
      </c>
      <c r="I44" s="23">
        <f>VLOOKUP(I$9&amp;" "&amp;$B$5&amp;" "&amp;$B$6,Sheet1!$B$2:$BK$107,Sheet1!$AG$107,FALSE)</f>
        <v>8570</v>
      </c>
    </row>
    <row r="45" spans="1:9" ht="12.75">
      <c r="A45" t="s">
        <v>115</v>
      </c>
      <c r="B45" s="23">
        <f>VLOOKUP(B$9&amp;" "&amp;$B$5&amp;" "&amp;$B$6,Sheet1!$B$2:$BK$107,Sheet1!$AH$107,FALSE)</f>
        <v>9180</v>
      </c>
      <c r="C45" s="23">
        <f>VLOOKUP(C$9&amp;" "&amp;$B$5&amp;" "&amp;$B$6,Sheet1!$B$2:$BK$107,Sheet1!$AH$107,FALSE)</f>
        <v>6800</v>
      </c>
      <c r="D45" s="23">
        <f>VLOOKUP(D$9&amp;" "&amp;$B$5&amp;" "&amp;$B$6,Sheet1!$B$2:$BK$107,Sheet1!$AH$107,FALSE)</f>
        <v>5920</v>
      </c>
      <c r="E45" s="23">
        <f>VLOOKUP(E$9&amp;" "&amp;$B$5&amp;" "&amp;$B$6,Sheet1!$B$2:$BK$107,Sheet1!$AH$107,FALSE)</f>
        <v>1310</v>
      </c>
      <c r="F45" s="23">
        <f>VLOOKUP(F$9&amp;" "&amp;$B$5&amp;" "&amp;$B$6,Sheet1!$B$2:$BK$107,Sheet1!$AH$107,FALSE)</f>
        <v>2820</v>
      </c>
      <c r="G45" s="23">
        <f>VLOOKUP(G$9&amp;" "&amp;$B$5&amp;" "&amp;$B$6,Sheet1!$B$2:$BK$107,Sheet1!$AH$107,FALSE)</f>
        <v>930</v>
      </c>
      <c r="H45" s="23">
        <f>VLOOKUP(H$9&amp;" "&amp;$B$5&amp;" "&amp;$B$6,Sheet1!$B$2:$BK$107,Sheet1!$AH$107,FALSE)</f>
        <v>790</v>
      </c>
      <c r="I45" s="23">
        <f>VLOOKUP(I$9&amp;" "&amp;$B$5&amp;" "&amp;$B$6,Sheet1!$B$2:$BK$107,Sheet1!$AH$107,FALSE)</f>
        <v>27750</v>
      </c>
    </row>
    <row r="46" spans="1:9" ht="12.75">
      <c r="A46" t="s">
        <v>116</v>
      </c>
      <c r="B46" s="23">
        <f>VLOOKUP(B$9&amp;" "&amp;$B$5&amp;" "&amp;$B$6,Sheet1!$B$2:$BK$107,Sheet1!$AI$107,FALSE)</f>
        <v>510</v>
      </c>
      <c r="C46" s="23">
        <f>VLOOKUP(C$9&amp;" "&amp;$B$5&amp;" "&amp;$B$6,Sheet1!$B$2:$BK$107,Sheet1!$AI$107,FALSE)</f>
        <v>760</v>
      </c>
      <c r="D46" s="23">
        <f>VLOOKUP(D$9&amp;" "&amp;$B$5&amp;" "&amp;$B$6,Sheet1!$B$2:$BK$107,Sheet1!$AI$107,FALSE)</f>
        <v>310</v>
      </c>
      <c r="E46" s="23">
        <f>VLOOKUP(E$9&amp;" "&amp;$B$5&amp;" "&amp;$B$6,Sheet1!$B$2:$BK$107,Sheet1!$AI$107,FALSE)</f>
        <v>80</v>
      </c>
      <c r="F46" s="23">
        <f>VLOOKUP(F$9&amp;" "&amp;$B$5&amp;" "&amp;$B$6,Sheet1!$B$2:$BK$107,Sheet1!$AI$107,FALSE)</f>
        <v>150</v>
      </c>
      <c r="G46" s="23">
        <f>VLOOKUP(G$9&amp;" "&amp;$B$5&amp;" "&amp;$B$6,Sheet1!$B$2:$BK$107,Sheet1!$AI$107,FALSE)</f>
        <v>170</v>
      </c>
      <c r="H46" s="23">
        <f>VLOOKUP(H$9&amp;" "&amp;$B$5&amp;" "&amp;$B$6,Sheet1!$B$2:$BK$107,Sheet1!$AI$107,FALSE)</f>
        <v>90</v>
      </c>
      <c r="I46" s="23">
        <f>VLOOKUP(I$9&amp;" "&amp;$B$5&amp;" "&amp;$B$6,Sheet1!$B$2:$BK$107,Sheet1!$AI$107,FALSE)</f>
        <v>2070</v>
      </c>
    </row>
    <row r="47" spans="1:9" ht="12.75">
      <c r="A47" t="s">
        <v>119</v>
      </c>
      <c r="B47" s="23">
        <f>VLOOKUP(B$9&amp;" "&amp;$B$5&amp;" "&amp;$B$6,Sheet1!$B$2:$BK$107,Sheet1!$AA$107,FALSE)</f>
        <v>13480</v>
      </c>
      <c r="C47" s="23">
        <f>VLOOKUP(C$9&amp;" "&amp;$B$5&amp;" "&amp;$B$6,Sheet1!$B$2:$BK$107,Sheet1!$AA$107,FALSE)</f>
        <v>9330</v>
      </c>
      <c r="D47" s="23">
        <f>VLOOKUP(D$9&amp;" "&amp;$B$5&amp;" "&amp;$B$6,Sheet1!$B$2:$BK$107,Sheet1!$AA$107,FALSE)</f>
        <v>8010</v>
      </c>
      <c r="E47" s="23">
        <f>VLOOKUP(E$9&amp;" "&amp;$B$5&amp;" "&amp;$B$6,Sheet1!$B$2:$BK$107,Sheet1!$AA$107,FALSE)</f>
        <v>2710</v>
      </c>
      <c r="F47" s="23">
        <f>VLOOKUP(F$9&amp;" "&amp;$B$5&amp;" "&amp;$B$6,Sheet1!$B$2:$BK$107,Sheet1!$AA$107,FALSE)</f>
        <v>3390</v>
      </c>
      <c r="G47" s="23">
        <f>VLOOKUP(G$9&amp;" "&amp;$B$5&amp;" "&amp;$B$6,Sheet1!$B$2:$BK$107,Sheet1!$AA$107,FALSE)</f>
        <v>1400</v>
      </c>
      <c r="H47" s="23">
        <f>VLOOKUP(H$9&amp;" "&amp;$B$5&amp;" "&amp;$B$6,Sheet1!$B$2:$BK$107,Sheet1!$AA$107,FALSE)</f>
        <v>1210</v>
      </c>
      <c r="I47" s="23">
        <f>VLOOKUP(I$9&amp;" "&amp;$B$5&amp;" "&amp;$B$6,Sheet1!$B$2:$BK$107,Sheet1!$AA$107,FALSE)</f>
        <v>39530</v>
      </c>
    </row>
    <row r="48" spans="2:9" ht="12.75">
      <c r="B48" s="23"/>
      <c r="C48" s="23"/>
      <c r="D48" s="23"/>
      <c r="E48" s="23"/>
      <c r="F48" s="23"/>
      <c r="G48" s="23"/>
      <c r="H48" s="23"/>
      <c r="I48" s="23"/>
    </row>
    <row r="49" spans="2:9" ht="12.75">
      <c r="B49" s="23"/>
      <c r="C49" s="23"/>
      <c r="D49" s="23"/>
      <c r="E49" s="23"/>
      <c r="F49" s="23"/>
      <c r="G49" s="23"/>
      <c r="H49" s="23"/>
      <c r="I49" s="23"/>
    </row>
    <row r="50" spans="1:9" ht="12.75">
      <c r="A50" t="s">
        <v>594</v>
      </c>
      <c r="B50" s="23"/>
      <c r="C50" s="23"/>
      <c r="D50" s="23"/>
      <c r="E50" s="23"/>
      <c r="F50" s="23"/>
      <c r="G50" s="23"/>
      <c r="H50" s="23"/>
      <c r="I50" s="23"/>
    </row>
    <row r="51" spans="2:9" ht="12.75">
      <c r="B51" s="23"/>
      <c r="C51" s="23"/>
      <c r="D51" s="23"/>
      <c r="E51" s="23"/>
      <c r="F51" s="23"/>
      <c r="G51" s="23"/>
      <c r="H51" s="23"/>
      <c r="I51" s="23"/>
    </row>
    <row r="52" spans="1:9" ht="12.75">
      <c r="A52" s="5" t="s">
        <v>213</v>
      </c>
      <c r="B52" s="23"/>
      <c r="C52" s="23"/>
      <c r="D52" s="23"/>
      <c r="E52" s="23"/>
      <c r="F52" s="23"/>
      <c r="G52" s="23"/>
      <c r="H52" s="23"/>
      <c r="I52" s="23"/>
    </row>
    <row r="53" spans="1:9" ht="12.75">
      <c r="A53" s="161" t="s">
        <v>357</v>
      </c>
      <c r="B53" s="23">
        <f>VLOOKUP(B$9&amp;" "&amp;$B$5&amp;" "&amp;$B$6,Sheet1!$B$2:$BK$107,Sheet1!$V$107,FALSE)</f>
        <v>3.056768558951965</v>
      </c>
      <c r="C53" s="23">
        <f>VLOOKUP(C$9&amp;" "&amp;$B$5&amp;" "&amp;$B$6,Sheet1!$B$2:$BK$107,Sheet1!$V$107,FALSE)</f>
        <v>0.6640106241699867</v>
      </c>
      <c r="D53" s="23">
        <f>VLOOKUP(D$9&amp;" "&amp;$B$5&amp;" "&amp;$B$6,Sheet1!$B$2:$BK$107,Sheet1!$V$107,FALSE)</f>
        <v>2.384105960264901</v>
      </c>
      <c r="E53" s="23">
        <f>VLOOKUP(E$9&amp;" "&amp;$B$5&amp;" "&amp;$B$6,Sheet1!$B$2:$BK$107,Sheet1!$V$107,FALSE)</f>
        <v>7.142857142857142</v>
      </c>
      <c r="F53" s="23">
        <f>VLOOKUP(F$9&amp;" "&amp;$B$5&amp;" "&amp;$B$6,Sheet1!$B$2:$BK$107,Sheet1!$V$107,FALSE)</f>
        <v>1</v>
      </c>
      <c r="G53" s="23">
        <f>VLOOKUP(G$9&amp;" "&amp;$B$5&amp;" "&amp;$B$6,Sheet1!$B$2:$BK$107,Sheet1!$V$107,FALSE)</f>
        <v>3.7037037037037033</v>
      </c>
      <c r="H53" s="23">
        <f>VLOOKUP(H$9&amp;" "&amp;$B$5&amp;" "&amp;$B$6,Sheet1!$B$2:$BK$107,Sheet1!$V$107,FALSE)</f>
        <v>1.25</v>
      </c>
      <c r="I53" s="23">
        <f>VLOOKUP(I$9&amp;" "&amp;$B$5&amp;" "&amp;$B$6,Sheet1!$B$2:$BK$107,Sheet1!$V$107,FALSE)</f>
        <v>2.4477611940298507</v>
      </c>
    </row>
    <row r="54" spans="1:9" ht="12.75">
      <c r="A54" t="s">
        <v>114</v>
      </c>
      <c r="B54" s="23">
        <f>VLOOKUP(B$9&amp;" "&amp;$B$5&amp;" "&amp;$B$6,Sheet1!$B$2:$BK$107,Sheet1!$W$107,FALSE)</f>
        <v>25.502183406113538</v>
      </c>
      <c r="C54" s="23">
        <f>VLOOKUP(C$9&amp;" "&amp;$B$5&amp;" "&amp;$B$6,Sheet1!$B$2:$BK$107,Sheet1!$W$107,FALSE)</f>
        <v>14.741035856573706</v>
      </c>
      <c r="D54" s="23">
        <f>VLOOKUP(D$9&amp;" "&amp;$B$5&amp;" "&amp;$B$6,Sheet1!$B$2:$BK$107,Sheet1!$W$107,FALSE)</f>
        <v>18.543046357615893</v>
      </c>
      <c r="E54" s="23">
        <f>VLOOKUP(E$9&amp;" "&amp;$B$5&amp;" "&amp;$B$6,Sheet1!$B$2:$BK$107,Sheet1!$W$107,FALSE)</f>
        <v>44.047619047619044</v>
      </c>
      <c r="F54" s="23">
        <f>VLOOKUP(F$9&amp;" "&amp;$B$5&amp;" "&amp;$B$6,Sheet1!$B$2:$BK$107,Sheet1!$W$107,FALSE)</f>
        <v>14.007782101167315</v>
      </c>
      <c r="G54" s="23">
        <f>VLOOKUP(G$9&amp;" "&amp;$B$5&amp;" "&amp;$B$6,Sheet1!$B$2:$BK$107,Sheet1!$W$107,FALSE)</f>
        <v>18</v>
      </c>
      <c r="H54" s="23">
        <f>VLOOKUP(H$9&amp;" "&amp;$B$5&amp;" "&amp;$B$6,Sheet1!$B$2:$BK$107,Sheet1!$W$107,FALSE)</f>
        <v>28.75</v>
      </c>
      <c r="I54" s="23">
        <f>VLOOKUP(I$9&amp;" "&amp;$B$5&amp;" "&amp;$B$6,Sheet1!$B$2:$BK$107,Sheet1!$W$107,FALSE)</f>
        <v>21.880597014925375</v>
      </c>
    </row>
    <row r="55" spans="1:9" ht="12.75">
      <c r="A55" t="s">
        <v>115</v>
      </c>
      <c r="B55" s="23">
        <f>VLOOKUP(B$9&amp;" "&amp;$B$5&amp;" "&amp;$B$6,Sheet1!$B$2:$BK$107,Sheet1!$X$107,FALSE)</f>
        <v>67.07423580786026</v>
      </c>
      <c r="C55" s="23">
        <f>VLOOKUP(C$9&amp;" "&amp;$B$5&amp;" "&amp;$B$6,Sheet1!$B$2:$BK$107,Sheet1!$X$107,FALSE)</f>
        <v>73</v>
      </c>
      <c r="D55" s="23">
        <f>VLOOKUP(D$9&amp;" "&amp;$B$5&amp;" "&amp;$B$6,Sheet1!$B$2:$BK$107,Sheet1!$X$107,FALSE)</f>
        <v>74.96688741721854</v>
      </c>
      <c r="E55" s="23">
        <f>VLOOKUP(E$9&amp;" "&amp;$B$5&amp;" "&amp;$B$6,Sheet1!$B$2:$BK$107,Sheet1!$X$107,FALSE)</f>
        <v>46.03174603174603</v>
      </c>
      <c r="F55" s="23">
        <f>VLOOKUP(F$9&amp;" "&amp;$B$5&amp;" "&amp;$B$6,Sheet1!$B$2:$BK$107,Sheet1!$X$107,FALSE)</f>
        <v>83.26848249027238</v>
      </c>
      <c r="G55" s="23">
        <f>VLOOKUP(G$9&amp;" "&amp;$B$5&amp;" "&amp;$B$6,Sheet1!$B$2:$BK$107,Sheet1!$X$107,FALSE)</f>
        <v>62.96296296296296</v>
      </c>
      <c r="H55" s="23">
        <f>VLOOKUP(H$9&amp;" "&amp;$B$5&amp;" "&amp;$B$6,Sheet1!$B$2:$BK$107,Sheet1!$X$107,FALSE)</f>
        <v>63.75</v>
      </c>
      <c r="I55" s="23">
        <f>VLOOKUP(I$9&amp;" "&amp;$B$5&amp;" "&amp;$B$6,Sheet1!$B$2:$BK$107,Sheet1!$X$107,FALSE)</f>
        <v>69.76119402985074</v>
      </c>
    </row>
    <row r="56" spans="1:9" ht="12.75">
      <c r="A56" t="s">
        <v>116</v>
      </c>
      <c r="B56" s="23">
        <f>VLOOKUP(B$9&amp;" "&amp;$B$5&amp;" "&amp;$B$6,Sheet1!$B$2:$BK$107,Sheet1!$Y$107,FALSE)</f>
        <v>4.366812227074235</v>
      </c>
      <c r="C56" s="23">
        <f>VLOOKUP(C$9&amp;" "&amp;$B$5&amp;" "&amp;$B$6,Sheet1!$B$2:$BK$107,Sheet1!$Y$107,FALSE)</f>
        <v>11.022576361221779</v>
      </c>
      <c r="D56" s="23">
        <f>VLOOKUP(D$9&amp;" "&amp;$B$5&amp;" "&amp;$B$6,Sheet1!$B$2:$BK$107,Sheet1!$Y$107,FALSE)</f>
        <v>4.105960264900662</v>
      </c>
      <c r="E56" s="23">
        <f>VLOOKUP(E$9&amp;" "&amp;$B$5&amp;" "&amp;$B$6,Sheet1!$B$2:$BK$107,Sheet1!$Y$107,FALSE)</f>
        <v>2.7777777777777777</v>
      </c>
      <c r="F56" s="23">
        <f>VLOOKUP(F$9&amp;" "&amp;$B$5&amp;" "&amp;$B$6,Sheet1!$B$2:$BK$107,Sheet1!$Y$107,FALSE)</f>
        <v>2.3346303501945527</v>
      </c>
      <c r="G56" s="23">
        <f>VLOOKUP(G$9&amp;" "&amp;$B$5&amp;" "&amp;$B$6,Sheet1!$B$2:$BK$107,Sheet1!$Y$107,FALSE)</f>
        <v>14.814814814814813</v>
      </c>
      <c r="H56" s="23">
        <f>VLOOKUP(H$9&amp;" "&amp;$B$5&amp;" "&amp;$B$6,Sheet1!$B$2:$BK$107,Sheet1!$Y$107,FALSE)</f>
        <v>6.25</v>
      </c>
      <c r="I56" s="23">
        <f>VLOOKUP(I$9&amp;" "&amp;$B$5&amp;" "&amp;$B$6,Sheet1!$B$2:$BK$107,Sheet1!$Y$107,FALSE)</f>
        <v>5.91044776119403</v>
      </c>
    </row>
    <row r="57" spans="2:9" ht="12.75">
      <c r="B57" s="23"/>
      <c r="C57" s="23"/>
      <c r="D57" s="2"/>
      <c r="E57" s="2"/>
      <c r="F57" s="2"/>
      <c r="G57" s="2"/>
      <c r="H57" s="2"/>
      <c r="I57" s="2"/>
    </row>
    <row r="58" spans="1:9" ht="12.75">
      <c r="A58" s="5" t="s">
        <v>492</v>
      </c>
      <c r="B58" s="23"/>
      <c r="C58" s="23"/>
      <c r="D58" s="2"/>
      <c r="E58" s="2"/>
      <c r="F58" s="2"/>
      <c r="G58" s="2"/>
      <c r="H58" s="2"/>
      <c r="I58" s="2"/>
    </row>
    <row r="59" spans="1:9" ht="12.75">
      <c r="A59" s="161" t="s">
        <v>357</v>
      </c>
      <c r="B59" s="23">
        <f aca="true" t="shared" si="0" ref="B59:C62">B29/B$33*100</f>
        <v>7.9470198675496695</v>
      </c>
      <c r="C59" s="23">
        <f t="shared" si="0"/>
        <v>2.631578947368421</v>
      </c>
      <c r="D59" s="296">
        <f aca="true" t="shared" si="1" ref="D59:I59">D29/D$33*100</f>
        <v>6.8181818181818175</v>
      </c>
      <c r="E59" s="296">
        <f t="shared" si="1"/>
        <v>13.333333333333334</v>
      </c>
      <c r="F59" s="296">
        <f t="shared" si="1"/>
        <v>1.2</v>
      </c>
      <c r="G59" s="296">
        <f t="shared" si="1"/>
        <v>9.090909090909092</v>
      </c>
      <c r="H59" s="296">
        <f t="shared" si="1"/>
        <v>2</v>
      </c>
      <c r="I59" s="296">
        <f t="shared" si="1"/>
        <v>6.65024630541872</v>
      </c>
    </row>
    <row r="60" spans="1:9" ht="12.75">
      <c r="A60" s="161" t="s">
        <v>114</v>
      </c>
      <c r="B60" s="23">
        <f t="shared" si="0"/>
        <v>47.019867549668874</v>
      </c>
      <c r="C60" s="23">
        <f t="shared" si="0"/>
        <v>35.526315789473685</v>
      </c>
      <c r="D60" s="296">
        <f aca="true" t="shared" si="2" ref="D60:I60">D30/D$33*100</f>
        <v>37.5</v>
      </c>
      <c r="E60" s="296">
        <f t="shared" si="2"/>
        <v>62.22222222222222</v>
      </c>
      <c r="F60" s="296">
        <f t="shared" si="2"/>
        <v>36</v>
      </c>
      <c r="G60" s="296">
        <f t="shared" si="2"/>
        <v>27.27272727272727</v>
      </c>
      <c r="H60" s="296">
        <f t="shared" si="2"/>
        <v>60</v>
      </c>
      <c r="I60" s="296">
        <f t="shared" si="2"/>
        <v>43.5960591133005</v>
      </c>
    </row>
    <row r="61" spans="1:9" ht="12.75">
      <c r="A61" s="161" t="s">
        <v>115</v>
      </c>
      <c r="B61" s="23">
        <f t="shared" si="0"/>
        <v>44.370860927152314</v>
      </c>
      <c r="C61" s="23">
        <f t="shared" si="0"/>
        <v>57.89473684210527</v>
      </c>
      <c r="D61" s="296">
        <f aca="true" t="shared" si="3" ref="D61:I61">D31/D$33*100</f>
        <v>54.54545454545454</v>
      </c>
      <c r="E61" s="296">
        <f t="shared" si="3"/>
        <v>22.22222222222222</v>
      </c>
      <c r="F61" s="296">
        <f t="shared" si="3"/>
        <v>64</v>
      </c>
      <c r="G61" s="296">
        <f t="shared" si="3"/>
        <v>54.54545454545454</v>
      </c>
      <c r="H61" s="296">
        <f t="shared" si="3"/>
        <v>40</v>
      </c>
      <c r="I61" s="296">
        <f t="shared" si="3"/>
        <v>48.029556650246306</v>
      </c>
    </row>
    <row r="62" spans="1:9" ht="12.75">
      <c r="A62" s="161" t="s">
        <v>116</v>
      </c>
      <c r="B62" s="23">
        <f t="shared" si="0"/>
        <v>0.6622516556291391</v>
      </c>
      <c r="C62" s="23">
        <f t="shared" si="0"/>
        <v>3.9473684210526314</v>
      </c>
      <c r="D62" s="296">
        <f aca="true" t="shared" si="4" ref="D62:I62">D32/D$33*100</f>
        <v>1.1363636363636365</v>
      </c>
      <c r="E62" s="296">
        <f t="shared" si="4"/>
        <v>2.2222222222222223</v>
      </c>
      <c r="F62" s="296">
        <f t="shared" si="4"/>
        <v>0.8</v>
      </c>
      <c r="G62" s="296">
        <f t="shared" si="4"/>
        <v>9.090909090909092</v>
      </c>
      <c r="H62" s="296">
        <f t="shared" si="4"/>
        <v>2</v>
      </c>
      <c r="I62" s="296">
        <f t="shared" si="4"/>
        <v>1.7241379310344827</v>
      </c>
    </row>
    <row r="502" spans="1:2" ht="12.75">
      <c r="A502" s="294">
        <v>2009</v>
      </c>
      <c r="B502" s="183" t="s">
        <v>204</v>
      </c>
    </row>
    <row r="503" spans="1:2" ht="12.75">
      <c r="A503" s="294">
        <v>2008</v>
      </c>
      <c r="B503" s="183" t="s">
        <v>611</v>
      </c>
    </row>
  </sheetData>
  <hyperlinks>
    <hyperlink ref="A6" r:id="rId1" display="http://www.boeing.com/cmo"/>
  </hyperlinks>
  <printOptions/>
  <pageMargins left="0.75" right="0.75" top="1" bottom="1" header="0.5" footer="0.5"/>
  <pageSetup fitToHeight="1" fitToWidth="1" horizontalDpi="1200" verticalDpi="1200" orientation="portrait" paperSize="9" scale="81" r:id="rId2"/>
  <headerFooter alignWithMargins="0">
    <oddFooter>&amp;L&amp;"Arial,Italic"Boeing Current Market Outlook 2009-2028&amp;R(c) Boeing 2009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17"/>
    <pageSetUpPr fitToPage="1"/>
  </sheetPr>
  <dimension ref="A1:H284"/>
  <sheetViews>
    <sheetView showGridLines="0" showZeros="0" workbookViewId="0" topLeftCell="A1">
      <selection activeCell="B18" sqref="B18"/>
    </sheetView>
  </sheetViews>
  <sheetFormatPr defaultColWidth="11.421875" defaultRowHeight="12.75"/>
  <cols>
    <col min="1" max="1" width="43.00390625" style="0" customWidth="1"/>
    <col min="2" max="2" width="8.8515625" style="0" customWidth="1"/>
    <col min="3" max="3" width="14.421875" style="0" customWidth="1"/>
    <col min="4" max="4" width="15.00390625" style="0" customWidth="1"/>
    <col min="5" max="5" width="9.57421875" style="0" bestFit="1" customWidth="1"/>
    <col min="6" max="6" width="12.00390625" style="0" customWidth="1"/>
    <col min="7" max="7" width="21.7109375" style="0" customWidth="1"/>
    <col min="8" max="8" width="18.57421875" style="0" customWidth="1"/>
    <col min="9" max="9" width="8.8515625" style="0" customWidth="1"/>
    <col min="10" max="11" width="9.140625" style="0" customWidth="1"/>
    <col min="12" max="12" width="10.00390625" style="0" customWidth="1"/>
    <col min="13" max="13" width="10.421875" style="0" customWidth="1"/>
    <col min="14" max="16384" width="9.140625" style="0" customWidth="1"/>
  </cols>
  <sheetData>
    <row r="1" spans="1:2" ht="15.75">
      <c r="A1" s="78" t="str">
        <f>'Region summary'!B1</f>
        <v>© Boeing 2011</v>
      </c>
      <c r="B1" s="35"/>
    </row>
    <row r="2" spans="1:2" ht="15.75">
      <c r="A2" s="80" t="str">
        <f>'Region summary'!B2</f>
        <v>Boeing Current Market Outlook 2011 to 2030</v>
      </c>
      <c r="B2" s="35"/>
    </row>
    <row r="3" spans="1:2" ht="15.75">
      <c r="A3" s="78" t="s">
        <v>392</v>
      </c>
      <c r="B3" s="35"/>
    </row>
    <row r="4" spans="3:4" ht="12.75">
      <c r="C4" s="35"/>
      <c r="D4" s="35"/>
    </row>
    <row r="5" ht="12.75">
      <c r="A5" s="5" t="s">
        <v>145</v>
      </c>
    </row>
    <row r="7" spans="1:7" ht="12.75">
      <c r="A7" t="s">
        <v>308</v>
      </c>
      <c r="E7" s="44"/>
      <c r="F7" s="44"/>
      <c r="G7" s="44"/>
    </row>
    <row r="8" spans="1:8" ht="12.75">
      <c r="A8" s="28" t="s">
        <v>223</v>
      </c>
      <c r="B8" s="159" t="s">
        <v>490</v>
      </c>
      <c r="C8" s="89" t="str">
        <f ca="1">"Must select 'I know the market sector' below (cell "&amp;CELL("address",$A$12)&amp;")"</f>
        <v>Must select 'I know the market sector' below (cell $A$12)</v>
      </c>
      <c r="E8" s="44"/>
      <c r="F8" s="44"/>
      <c r="G8" s="44"/>
      <c r="H8" s="44"/>
    </row>
    <row r="9" spans="1:8" ht="12.75">
      <c r="A9" s="44"/>
      <c r="B9" s="43"/>
      <c r="E9" s="44"/>
      <c r="F9" s="44"/>
      <c r="G9" s="44"/>
      <c r="H9" s="44"/>
    </row>
    <row r="10" spans="1:8" ht="12.75">
      <c r="A10" s="442" t="s">
        <v>389</v>
      </c>
      <c r="B10" s="443"/>
      <c r="C10" s="443"/>
      <c r="D10" s="443"/>
      <c r="E10" s="152"/>
      <c r="F10" s="153"/>
      <c r="G10" s="44"/>
      <c r="H10" s="44"/>
    </row>
    <row r="11" spans="1:8" ht="12.75">
      <c r="A11" s="444"/>
      <c r="B11" s="445"/>
      <c r="C11" s="445"/>
      <c r="D11" s="445"/>
      <c r="E11" s="44"/>
      <c r="F11" s="154"/>
      <c r="G11" s="44"/>
      <c r="H11" s="44"/>
    </row>
    <row r="12" spans="1:8" ht="12.75">
      <c r="A12" s="155" t="s">
        <v>390</v>
      </c>
      <c r="B12" s="158" t="s">
        <v>489</v>
      </c>
      <c r="C12" s="74"/>
      <c r="D12" s="74"/>
      <c r="E12" s="156"/>
      <c r="F12" s="157"/>
      <c r="G12" s="44"/>
      <c r="H12" s="44"/>
    </row>
    <row r="14" ht="12.75">
      <c r="A14" s="39" t="str">
        <f>IF($A$12="I know the market sector","The segment selected is the "&amp;$C$195&amp;" segment. The segment forecast is shown below.","The "&amp;$A$12&amp;" is in the "&amp;$C$195&amp;" segment. The segment forecast is shown below.")</f>
        <v>The segment selected is the Total segment. The segment forecast is shown below.</v>
      </c>
    </row>
    <row r="15" ht="12.75">
      <c r="A15" s="40" t="str">
        <f>IF($A$12="I know the market sector"," ","This is not a forecast for the "&amp;$A$12&amp;" but for the entire "&amp;$C$195&amp;" market segment. ")</f>
        <v> </v>
      </c>
    </row>
    <row r="16" ht="12.75">
      <c r="A16" s="5" t="str">
        <f>C195</f>
        <v>Total</v>
      </c>
    </row>
    <row r="17" spans="1:5" ht="51">
      <c r="A17" s="4" t="s">
        <v>79</v>
      </c>
      <c r="B17" s="30" t="str">
        <f>"Fleet in "&amp;Sheet1!$K$117-1</f>
        <v>Fleet in 2010</v>
      </c>
      <c r="C17" s="31" t="str">
        <f>"Fleet in "&amp;Sheet1!$K$117-1+LEFT(Sheet1!K120,2)</f>
        <v>Fleet in 2030</v>
      </c>
      <c r="D17" s="31" t="s">
        <v>117</v>
      </c>
      <c r="E17" s="31" t="str">
        <f>"Market value     "&amp;"("&amp;Sheet1!K117-1&amp;" $B) "&amp;Sheet1!$K$117&amp;"-"&amp;Sheet1!$K$117-1+LEFT(Sheet1!$K$120,2)</f>
        <v>Market value     (2010 $B) 2011-2030</v>
      </c>
    </row>
    <row r="18" spans="1:5" ht="12.75">
      <c r="A18" t="s">
        <v>483</v>
      </c>
      <c r="B18" s="33">
        <f>VLOOKUP($A18&amp;" "&amp;Sheet1!$K$117&amp;" "&amp;Sheet1!$K$120,Sheet1!$B$3:$BM$104,$A$196,FALSE)</f>
        <v>4410</v>
      </c>
      <c r="C18" s="33">
        <f>VLOOKUP($A18&amp;" "&amp;Sheet1!$K$117&amp;" "&amp;Sheet1!$K$120,Sheet1!$B$3:$BM$104,$A$197,FALSE)</f>
        <v>13480</v>
      </c>
      <c r="D18" s="33">
        <f>VLOOKUP($A18&amp;" "&amp;Sheet1!$K$117&amp;" "&amp;Sheet1!$K$120,Sheet1!$B$3:$BM$104,$A$195,FALSE)</f>
        <v>11450</v>
      </c>
      <c r="E18" s="23">
        <f>VLOOKUP($A18&amp;" "&amp;Sheet1!$K$117&amp;" "&amp;Sheet1!$K$120,Sheet1!$B$3:$BM$104,$A$198,FALSE)</f>
        <v>1510</v>
      </c>
    </row>
    <row r="19" spans="1:5" ht="12.75">
      <c r="A19" s="29" t="s">
        <v>101</v>
      </c>
      <c r="B19" s="33">
        <f>VLOOKUP($A19&amp;" "&amp;Sheet1!$K$117&amp;" "&amp;Sheet1!$K$120,Sheet1!$B$3:$BM$104,$A$196,FALSE)</f>
        <v>6610</v>
      </c>
      <c r="C19" s="33">
        <f>VLOOKUP($A19&amp;" "&amp;Sheet1!$K$117&amp;" "&amp;Sheet1!$K$120,Sheet1!$B$3:$BM$104,$A$197,FALSE)</f>
        <v>9330</v>
      </c>
      <c r="D19" s="33">
        <f>VLOOKUP($A19&amp;" "&amp;Sheet1!$K$117&amp;" "&amp;Sheet1!$K$120,Sheet1!$B$3:$BM$104,$A$195,FALSE)</f>
        <v>7530</v>
      </c>
      <c r="E19" s="23">
        <f>VLOOKUP($A19&amp;" "&amp;Sheet1!$K$117&amp;" "&amp;Sheet1!$K$120,Sheet1!$B$3:$BM$104,$A$198,FALSE)</f>
        <v>760</v>
      </c>
    </row>
    <row r="20" spans="1:5" ht="12.75">
      <c r="A20" s="1" t="s">
        <v>102</v>
      </c>
      <c r="B20" s="33">
        <f>VLOOKUP($A20&amp;" "&amp;Sheet1!$K$117&amp;" "&amp;Sheet1!$K$120,Sheet1!$B$3:$BM$104,$A$196,FALSE)</f>
        <v>4380</v>
      </c>
      <c r="C20" s="33">
        <f>VLOOKUP($A20&amp;" "&amp;Sheet1!$K$117&amp;" "&amp;Sheet1!$K$120,Sheet1!$B$3:$BM$104,$A$197,FALSE)</f>
        <v>8010</v>
      </c>
      <c r="D20" s="33">
        <f>VLOOKUP($A20&amp;" "&amp;Sheet1!$K$117&amp;" "&amp;Sheet1!$K$120,Sheet1!$B$3:$BM$104,$A$195,FALSE)</f>
        <v>7550</v>
      </c>
      <c r="E20" s="23">
        <f>VLOOKUP($A20&amp;" "&amp;Sheet1!$K$117&amp;" "&amp;Sheet1!$K$120,Sheet1!$B$3:$BM$104,$A$198,FALSE)</f>
        <v>880</v>
      </c>
    </row>
    <row r="21" spans="1:5" ht="12.75">
      <c r="A21" t="s">
        <v>103</v>
      </c>
      <c r="B21" s="33">
        <f>VLOOKUP($A21&amp;" "&amp;Sheet1!$K$117&amp;" "&amp;Sheet1!$K$120,Sheet1!$B$3:$BM$104,$A$196,FALSE)</f>
        <v>1040</v>
      </c>
      <c r="C21" s="33">
        <f>VLOOKUP($A21&amp;" "&amp;Sheet1!$K$117&amp;" "&amp;Sheet1!$K$120,Sheet1!$B$3:$BM$104,$A$197,FALSE)</f>
        <v>2710</v>
      </c>
      <c r="D21" s="33">
        <f>VLOOKUP($A21&amp;" "&amp;Sheet1!$K$117&amp;" "&amp;Sheet1!$K$120,Sheet1!$B$3:$BM$104,$A$195,FALSE)</f>
        <v>2520</v>
      </c>
      <c r="E21" s="23">
        <f>VLOOKUP($A21&amp;" "&amp;Sheet1!$K$117&amp;" "&amp;Sheet1!$K$120,Sheet1!$B$3:$BM$104,$A$198,FALSE)</f>
        <v>450</v>
      </c>
    </row>
    <row r="22" spans="1:5" ht="12.75">
      <c r="A22" t="s">
        <v>104</v>
      </c>
      <c r="B22" s="33">
        <f>VLOOKUP($A22&amp;" "&amp;Sheet1!$K$117&amp;" "&amp;Sheet1!$K$120,Sheet1!$B$3:$BM$104,$A$196,FALSE)</f>
        <v>1150</v>
      </c>
      <c r="C22" s="33">
        <f>VLOOKUP($A22&amp;" "&amp;Sheet1!$K$117&amp;" "&amp;Sheet1!$K$120,Sheet1!$B$3:$BM$104,$A$197,FALSE)</f>
        <v>3390</v>
      </c>
      <c r="D22" s="33">
        <f>VLOOKUP($A22&amp;" "&amp;Sheet1!$K$117&amp;" "&amp;Sheet1!$K$120,Sheet1!$B$3:$BM$104,$A$195,FALSE)</f>
        <v>2570</v>
      </c>
      <c r="E22" s="23">
        <f>VLOOKUP($A22&amp;" "&amp;Sheet1!$K$117&amp;" "&amp;Sheet1!$K$120,Sheet1!$B$3:$BM$104,$A$198,FALSE)</f>
        <v>250</v>
      </c>
    </row>
    <row r="23" spans="1:5" ht="12.75">
      <c r="A23" t="s">
        <v>57</v>
      </c>
      <c r="B23" s="33">
        <f>VLOOKUP($A23&amp;" "&amp;Sheet1!$K$117&amp;" "&amp;Sheet1!$K$120,Sheet1!$B$3:$BM$104,$A$196,FALSE)</f>
        <v>1140</v>
      </c>
      <c r="C23" s="33">
        <f>VLOOKUP($A23&amp;" "&amp;Sheet1!$K$117&amp;" "&amp;Sheet1!$K$120,Sheet1!$B$3:$BM$104,$A$197,FALSE)</f>
        <v>1400</v>
      </c>
      <c r="D23" s="33">
        <f>VLOOKUP($A23&amp;" "&amp;Sheet1!$K$117&amp;" "&amp;Sheet1!$K$120,Sheet1!$B$3:$BM$104,$A$195,FALSE)</f>
        <v>1080</v>
      </c>
      <c r="E23" s="23">
        <f>VLOOKUP($A23&amp;" "&amp;Sheet1!$K$117&amp;" "&amp;Sheet1!$K$120,Sheet1!$B$3:$BM$104,$A$198,FALSE)</f>
        <v>110</v>
      </c>
    </row>
    <row r="24" spans="1:5" ht="12.75">
      <c r="A24" t="s">
        <v>105</v>
      </c>
      <c r="B24" s="33">
        <f>VLOOKUP($A24&amp;" "&amp;Sheet1!$K$117&amp;" "&amp;Sheet1!$K$120,Sheet1!$B$3:$BM$104,$A$196,FALSE)</f>
        <v>680</v>
      </c>
      <c r="C24" s="33">
        <f>VLOOKUP($A24&amp;" "&amp;Sheet1!$K$117&amp;" "&amp;Sheet1!$K$120,Sheet1!$B$3:$BM$104,$A$197,FALSE)</f>
        <v>1210</v>
      </c>
      <c r="D24" s="33">
        <f>VLOOKUP($A24&amp;" "&amp;Sheet1!$K$117&amp;" "&amp;Sheet1!$K$120,Sheet1!$B$3:$BM$104,$A$195,FALSE)</f>
        <v>800</v>
      </c>
      <c r="E24" s="23">
        <f>VLOOKUP($A24&amp;" "&amp;Sheet1!$K$117&amp;" "&amp;Sheet1!$K$120,Sheet1!$B$3:$BM$104,$A$198,FALSE)</f>
        <v>100</v>
      </c>
    </row>
    <row r="25" spans="2:5" ht="12.75">
      <c r="B25" s="33"/>
      <c r="C25" s="33"/>
      <c r="D25" s="33"/>
      <c r="E25" s="23"/>
    </row>
    <row r="26" spans="1:5" ht="12.75">
      <c r="A26" t="s">
        <v>100</v>
      </c>
      <c r="B26" s="33">
        <f>VLOOKUP($A26&amp;" "&amp;Sheet1!$K$117&amp;" "&amp;Sheet1!$K$120,Sheet1!$B$3:$BM$104,$A$196,FALSE)</f>
        <v>19410</v>
      </c>
      <c r="C26" s="33">
        <f>VLOOKUP($A26&amp;" "&amp;Sheet1!$K$117&amp;" "&amp;Sheet1!$K$120,Sheet1!$B$3:$BM$104,$A$197,FALSE)</f>
        <v>39530</v>
      </c>
      <c r="D26" s="33">
        <f>VLOOKUP($A26&amp;" "&amp;Sheet1!$K$117&amp;" "&amp;Sheet1!$K$120,Sheet1!$B$3:$BM$104,$A$195,FALSE)</f>
        <v>33500</v>
      </c>
      <c r="E26" s="23">
        <f>VLOOKUP($A26&amp;" "&amp;Sheet1!$K$117&amp;" "&amp;Sheet1!$K$120,Sheet1!$B$3:$BM$104,$A$198,FALSE)</f>
        <v>4060</v>
      </c>
    </row>
    <row r="29" ht="12.75">
      <c r="A29" s="5" t="str">
        <f>A16</f>
        <v>Total</v>
      </c>
    </row>
    <row r="30" spans="1:5" ht="38.25">
      <c r="A30" s="4" t="s">
        <v>79</v>
      </c>
      <c r="B30" s="30" t="str">
        <f>"Share of fleet in "&amp;Sheet1!$K$117-1&amp;" (%)"</f>
        <v>Share of fleet in 2010 (%)</v>
      </c>
      <c r="C30" s="31" t="str">
        <f>"Share of fleet in "&amp;Sheet1!$K$117-1+LEFT(Sheet1!$K$120,2)&amp;" (%)"</f>
        <v>Share of fleet in 2030 (%)</v>
      </c>
      <c r="D30" s="31" t="s">
        <v>311</v>
      </c>
      <c r="E30" s="31" t="s">
        <v>349</v>
      </c>
    </row>
    <row r="31" spans="1:5" ht="12.75">
      <c r="A31" t="s">
        <v>483</v>
      </c>
      <c r="B31" s="33">
        <f aca="true" t="shared" si="0" ref="B31:E37">B18/B$26*100</f>
        <v>22.720247295208658</v>
      </c>
      <c r="C31" s="33">
        <f t="shared" si="0"/>
        <v>34.10068302555022</v>
      </c>
      <c r="D31" s="33">
        <f t="shared" si="0"/>
        <v>34.179104477611936</v>
      </c>
      <c r="E31" s="23">
        <f t="shared" si="0"/>
        <v>37.19211822660098</v>
      </c>
    </row>
    <row r="32" spans="1:5" ht="12.75">
      <c r="A32" s="29" t="s">
        <v>101</v>
      </c>
      <c r="B32" s="33">
        <f t="shared" si="0"/>
        <v>34.05461102524472</v>
      </c>
      <c r="C32" s="33">
        <f t="shared" si="0"/>
        <v>23.602327346319253</v>
      </c>
      <c r="D32" s="33">
        <f t="shared" si="0"/>
        <v>22.47761194029851</v>
      </c>
      <c r="E32" s="23">
        <f t="shared" si="0"/>
        <v>18.7192118226601</v>
      </c>
    </row>
    <row r="33" spans="1:5" ht="12.75">
      <c r="A33" s="1" t="s">
        <v>102</v>
      </c>
      <c r="B33" s="33">
        <f t="shared" si="0"/>
        <v>22.56568778979907</v>
      </c>
      <c r="C33" s="33">
        <f t="shared" si="0"/>
        <v>20.26309132304579</v>
      </c>
      <c r="D33" s="33">
        <f t="shared" si="0"/>
        <v>22.53731343283582</v>
      </c>
      <c r="E33" s="23">
        <f t="shared" si="0"/>
        <v>21.67487684729064</v>
      </c>
    </row>
    <row r="34" spans="1:5" ht="12.75">
      <c r="A34" t="s">
        <v>103</v>
      </c>
      <c r="B34" s="33">
        <f t="shared" si="0"/>
        <v>5.358062854198867</v>
      </c>
      <c r="C34" s="33">
        <f t="shared" si="0"/>
        <v>6.855552744750821</v>
      </c>
      <c r="D34" s="33">
        <f t="shared" si="0"/>
        <v>7.522388059701493</v>
      </c>
      <c r="E34" s="23">
        <f t="shared" si="0"/>
        <v>11.083743842364532</v>
      </c>
    </row>
    <row r="35" spans="1:5" ht="12.75">
      <c r="A35" t="s">
        <v>104</v>
      </c>
      <c r="B35" s="33">
        <f t="shared" si="0"/>
        <v>5.92478104070067</v>
      </c>
      <c r="C35" s="33">
        <f t="shared" si="0"/>
        <v>8.575765241588666</v>
      </c>
      <c r="D35" s="33">
        <f t="shared" si="0"/>
        <v>7.6716417910447765</v>
      </c>
      <c r="E35" s="23">
        <f t="shared" si="0"/>
        <v>6.157635467980295</v>
      </c>
    </row>
    <row r="36" spans="1:5" ht="12.75">
      <c r="A36" t="s">
        <v>57</v>
      </c>
      <c r="B36" s="33">
        <f t="shared" si="0"/>
        <v>5.873261205564142</v>
      </c>
      <c r="C36" s="33">
        <f t="shared" si="0"/>
        <v>3.5416139640779156</v>
      </c>
      <c r="D36" s="33">
        <f t="shared" si="0"/>
        <v>3.2238805970149254</v>
      </c>
      <c r="E36" s="23">
        <f t="shared" si="0"/>
        <v>2.70935960591133</v>
      </c>
    </row>
    <row r="37" spans="1:5" ht="12.75">
      <c r="A37" t="s">
        <v>105</v>
      </c>
      <c r="B37" s="33">
        <f t="shared" si="0"/>
        <v>3.503348789283874</v>
      </c>
      <c r="C37" s="33">
        <f t="shared" si="0"/>
        <v>3.0609663546673413</v>
      </c>
      <c r="D37" s="33">
        <f t="shared" si="0"/>
        <v>2.3880597014925375</v>
      </c>
      <c r="E37" s="23">
        <f t="shared" si="0"/>
        <v>2.4630541871921183</v>
      </c>
    </row>
    <row r="38" spans="2:5" ht="12.75">
      <c r="B38" s="33"/>
      <c r="C38" s="33"/>
      <c r="D38" s="33"/>
      <c r="E38" s="23"/>
    </row>
    <row r="39" spans="1:5" ht="12.75">
      <c r="A39" t="s">
        <v>100</v>
      </c>
      <c r="B39" s="33">
        <f>B26/B$26*100</f>
        <v>100</v>
      </c>
      <c r="C39" s="33">
        <f>C26/C$26*100</f>
        <v>100</v>
      </c>
      <c r="D39" s="33">
        <f>D26/D$26*100</f>
        <v>100</v>
      </c>
      <c r="E39" s="23">
        <f>E26/E$26*100</f>
        <v>100</v>
      </c>
    </row>
    <row r="41" ht="12.75">
      <c r="A41" s="4" t="s">
        <v>391</v>
      </c>
    </row>
    <row r="42" ht="12.75">
      <c r="A42" s="38" t="s">
        <v>491</v>
      </c>
    </row>
    <row r="43" ht="12.75">
      <c r="A43" s="28" t="s">
        <v>578</v>
      </c>
    </row>
    <row r="45" ht="15.75">
      <c r="A45" s="34" t="str">
        <f>A43</f>
        <v>Freighter Total</v>
      </c>
    </row>
    <row r="46" spans="1:2" ht="12.75">
      <c r="A46" s="30" t="str">
        <f>"Fleet in "&amp;Sheet1!$K$117-1</f>
        <v>Fleet in 2010</v>
      </c>
      <c r="B46" s="23">
        <f>VLOOKUP($A$43&amp;Sheet1!$K$120&amp;Sheet1!$K$117,Sheet1!$A$189:$O$231,Sheet1!$J$233,FALSE)</f>
        <v>1760</v>
      </c>
    </row>
    <row r="47" spans="1:2" ht="12.75">
      <c r="A47" s="31" t="s">
        <v>134</v>
      </c>
      <c r="B47" s="23">
        <f>VLOOKUP($A$43&amp;Sheet1!$K$120&amp;Sheet1!$K$117,Sheet1!$A$189:$O$231,Sheet1!$N$233,FALSE)</f>
        <v>1220</v>
      </c>
    </row>
    <row r="48" spans="1:2" ht="12.75">
      <c r="A48" s="31" t="s">
        <v>117</v>
      </c>
      <c r="B48" s="23">
        <f>VLOOKUP($A$43&amp;Sheet1!$K$120&amp;Sheet1!$K$117,Sheet1!$A$189:$O$231,Sheet1!$F$233,FALSE)</f>
        <v>970</v>
      </c>
    </row>
    <row r="49" spans="1:2" ht="12.75">
      <c r="A49" s="31" t="str">
        <f>"Fleet in "&amp;Sheet1!$K$117-1+LEFT(Sheet1!$K$120,2)</f>
        <v>Fleet in 2030</v>
      </c>
      <c r="B49" s="23">
        <f>VLOOKUP($A$43&amp;Sheet1!$K$120&amp;Sheet1!$K$117,Sheet1!$A$189:$O$231,Sheet1!$K$233,FALSE)</f>
        <v>3500</v>
      </c>
    </row>
    <row r="50" ht="12.75">
      <c r="B50" s="23"/>
    </row>
    <row r="51" spans="1:4" ht="25.5">
      <c r="A51" s="31" t="s">
        <v>382</v>
      </c>
      <c r="B51" s="23">
        <f>VLOOKUP($A$43&amp;Sheet1!$K$120&amp;Sheet1!$K$117,Sheet1!$A$189:$O$231,Sheet1!$O$233,FALSE)</f>
        <v>1990</v>
      </c>
      <c r="D51" s="182"/>
    </row>
    <row r="52" spans="1:2" ht="12.75">
      <c r="A52" s="3"/>
      <c r="B52" s="23"/>
    </row>
    <row r="53" spans="1:2" ht="12.75">
      <c r="A53" s="31" t="str">
        <f>"Market value "&amp;"("&amp;Sheet1!$K$117-1&amp;" $B) "&amp;Sheet1!$K$117&amp;"-"&amp;Sheet1!$K$117-1+LEFT(Sheet1!$K$120,2)</f>
        <v>Market value (2010 $B) 2011-2030</v>
      </c>
      <c r="B53" s="23">
        <f>VLOOKUP($A$43&amp;Sheet1!$K$120&amp;Sheet1!$K$117,Sheet1!$A$189:$O$231,Sheet1!$G$233,FALSE)</f>
        <v>250</v>
      </c>
    </row>
    <row r="54" spans="1:2" ht="12.75">
      <c r="A54" s="3"/>
      <c r="B54" s="23"/>
    </row>
    <row r="55" spans="1:2" ht="12.75">
      <c r="A55" s="31" t="s">
        <v>311</v>
      </c>
      <c r="B55" s="23">
        <f>VLOOKUP($A$43&amp;Sheet1!$K$120&amp;Sheet1!$K$117,Sheet1!$A$189:$O$231,Sheet1!$H$233,FALSE)</f>
        <v>2.8955223880597014</v>
      </c>
    </row>
    <row r="56" spans="1:2" ht="12.75">
      <c r="A56" s="31" t="s">
        <v>310</v>
      </c>
      <c r="B56" s="23">
        <f>VLOOKUP($A$43&amp;Sheet1!$K$120&amp;Sheet1!$K$117,Sheet1!$A$189:$O$231,Sheet1!$I$233,FALSE)</f>
        <v>6.157635467980295</v>
      </c>
    </row>
    <row r="57" spans="1:2" ht="12.75">
      <c r="A57" s="3"/>
      <c r="B57" s="23"/>
    </row>
    <row r="58" spans="1:2" ht="12.75">
      <c r="A58" s="30" t="str">
        <f>"Share of "&amp;Sheet1!$K$117-1&amp;" world fleet (%)"</f>
        <v>Share of 2010 world fleet (%)</v>
      </c>
      <c r="B58" s="23">
        <f>VLOOKUP($A$43&amp;Sheet1!$K$120&amp;Sheet1!$K$117,Sheet1!$A$189:$O$231,Sheet1!$L$233,FALSE)</f>
        <v>9.067490984028852</v>
      </c>
    </row>
    <row r="59" spans="1:2" ht="12.75">
      <c r="A59" s="30" t="str">
        <f>"Share of "&amp;Sheet1!$K$117-1+LEFT(Sheet1!$K$120,2)&amp;" world fleet (%)"</f>
        <v>Share of 2030 world fleet (%)</v>
      </c>
      <c r="B59" s="23">
        <f>VLOOKUP($A$43&amp;Sheet1!$K$120&amp;Sheet1!$K$117,Sheet1!$A$189:$O$231,Sheet1!$M$233,FALSE)</f>
        <v>8.85403491019479</v>
      </c>
    </row>
    <row r="61" ht="12.75">
      <c r="A61" s="5" t="s">
        <v>566</v>
      </c>
    </row>
    <row r="62" ht="12.75">
      <c r="A62" t="str">
        <f>endyear&amp;" fleet = "&amp;B46&amp;" in service - "&amp;B47&amp;" removed + "&amp;IF(LEFT(A43,9)="Passenger",IF(RIGHT(A43,5)="Total",B51,"N/A"),B51)&amp;" converted to frieghter + "&amp;B48&amp;" new deliveries = "&amp;SUM(B46-B47+B48)+IF(LEFT(A43,9)="Passenger",0,B51)</f>
        <v>2030 fleet = 1760 in service - 1220 removed + 1990 converted to frieghter + 970 new deliveries = 3500</v>
      </c>
    </row>
    <row r="194" ht="12.75">
      <c r="A194" s="5" t="s">
        <v>582</v>
      </c>
    </row>
    <row r="195" spans="1:3" ht="12.75">
      <c r="A195" s="32">
        <f>HLOOKUP($D$17&amp;" "&amp;$C$195,Sheet1!$B$2:$BM$107,Sheet1!$A$107,FALSE)</f>
        <v>11</v>
      </c>
      <c r="C195" s="36" t="str">
        <f>IF(A12="I know the market sector",A8,VLOOKUP(A12,$A$200:$B$284,2,FALSE))</f>
        <v>Total</v>
      </c>
    </row>
    <row r="196" ht="12.75">
      <c r="A196" s="32">
        <f>HLOOKUP("Base year"&amp;" "&amp;$C$195,Sheet1!$B$2:$BM$107,Sheet1!$A$107,FALSE)</f>
        <v>25</v>
      </c>
    </row>
    <row r="197" ht="12.75">
      <c r="A197" s="32">
        <f>HLOOKUP("End year"&amp;" "&amp;$C$195,Sheet1!$B$2:$BM$107,Sheet1!$A$107,FALSE)</f>
        <v>26</v>
      </c>
    </row>
    <row r="198" ht="12.75">
      <c r="A198" s="32">
        <f>HLOOKUP("Market value"&amp;" "&amp;$C$195,Sheet1!$B$2:$BM$107,Sheet1!$A$107,FALSE)</f>
        <v>15</v>
      </c>
    </row>
    <row r="199" ht="12.75">
      <c r="G199" s="4" t="s">
        <v>575</v>
      </c>
    </row>
    <row r="200" spans="1:7" ht="12.75">
      <c r="A200" t="s">
        <v>390</v>
      </c>
      <c r="G200" t="s">
        <v>357</v>
      </c>
    </row>
    <row r="201" spans="1:7" ht="12.75">
      <c r="A201" t="s">
        <v>277</v>
      </c>
      <c r="B201" t="s">
        <v>357</v>
      </c>
      <c r="G201" t="s">
        <v>136</v>
      </c>
    </row>
    <row r="202" spans="1:7" ht="12.75">
      <c r="A202" t="s">
        <v>278</v>
      </c>
      <c r="B202" t="s">
        <v>357</v>
      </c>
      <c r="G202" t="s">
        <v>137</v>
      </c>
    </row>
    <row r="203" spans="1:7" ht="12.75">
      <c r="A203" t="s">
        <v>279</v>
      </c>
      <c r="B203" t="s">
        <v>357</v>
      </c>
      <c r="G203" t="s">
        <v>138</v>
      </c>
    </row>
    <row r="204" spans="1:7" ht="12.75">
      <c r="A204" t="s">
        <v>280</v>
      </c>
      <c r="B204" t="s">
        <v>357</v>
      </c>
      <c r="G204" t="s">
        <v>139</v>
      </c>
    </row>
    <row r="205" spans="1:7" ht="12.75">
      <c r="A205" t="s">
        <v>281</v>
      </c>
      <c r="B205" t="s">
        <v>357</v>
      </c>
      <c r="G205" t="s">
        <v>116</v>
      </c>
    </row>
    <row r="206" spans="1:7" ht="12.75">
      <c r="A206" t="s">
        <v>283</v>
      </c>
      <c r="B206" t="s">
        <v>136</v>
      </c>
      <c r="G206" t="s">
        <v>114</v>
      </c>
    </row>
    <row r="207" spans="1:7" ht="12.75">
      <c r="A207" t="s">
        <v>284</v>
      </c>
      <c r="B207" t="s">
        <v>136</v>
      </c>
      <c r="G207" t="s">
        <v>115</v>
      </c>
    </row>
    <row r="208" spans="1:7" ht="12.75">
      <c r="A208" t="s">
        <v>285</v>
      </c>
      <c r="B208" t="s">
        <v>136</v>
      </c>
      <c r="G208" t="s">
        <v>223</v>
      </c>
    </row>
    <row r="209" spans="1:2" ht="12.75">
      <c r="A209" t="s">
        <v>287</v>
      </c>
      <c r="B209" t="s">
        <v>136</v>
      </c>
    </row>
    <row r="210" spans="1:2" ht="12.75">
      <c r="A210" t="s">
        <v>286</v>
      </c>
      <c r="B210" t="s">
        <v>136</v>
      </c>
    </row>
    <row r="211" spans="1:2" ht="12.75">
      <c r="A211" t="s">
        <v>296</v>
      </c>
      <c r="B211" t="s">
        <v>137</v>
      </c>
    </row>
    <row r="212" spans="1:7" ht="12.75">
      <c r="A212" t="s">
        <v>297</v>
      </c>
      <c r="B212" t="s">
        <v>137</v>
      </c>
      <c r="G212" s="4" t="s">
        <v>576</v>
      </c>
    </row>
    <row r="213" spans="1:7" ht="12.75">
      <c r="A213" t="s">
        <v>298</v>
      </c>
      <c r="B213" t="s">
        <v>137</v>
      </c>
      <c r="G213" t="s">
        <v>367</v>
      </c>
    </row>
    <row r="214" spans="1:7" ht="12.75">
      <c r="A214" t="s">
        <v>299</v>
      </c>
      <c r="B214" t="s">
        <v>137</v>
      </c>
      <c r="G214" t="s">
        <v>368</v>
      </c>
    </row>
    <row r="215" spans="1:7" ht="12.75">
      <c r="A215" t="s">
        <v>300</v>
      </c>
      <c r="B215" t="s">
        <v>137</v>
      </c>
      <c r="G215" t="s">
        <v>369</v>
      </c>
    </row>
    <row r="216" spans="1:7" ht="12.75">
      <c r="A216" t="s">
        <v>301</v>
      </c>
      <c r="B216" t="s">
        <v>137</v>
      </c>
      <c r="G216" t="s">
        <v>370</v>
      </c>
    </row>
    <row r="217" spans="1:7" ht="12.75">
      <c r="A217" t="s">
        <v>225</v>
      </c>
      <c r="B217" t="s">
        <v>138</v>
      </c>
      <c r="G217" t="s">
        <v>371</v>
      </c>
    </row>
    <row r="218" spans="1:7" ht="12.75">
      <c r="A218" t="s">
        <v>226</v>
      </c>
      <c r="B218" t="s">
        <v>138</v>
      </c>
      <c r="G218" t="s">
        <v>372</v>
      </c>
    </row>
    <row r="219" spans="1:7" ht="12.75">
      <c r="A219" t="s">
        <v>238</v>
      </c>
      <c r="B219" t="s">
        <v>139</v>
      </c>
      <c r="G219" t="s">
        <v>585</v>
      </c>
    </row>
    <row r="220" spans="1:7" ht="12.75">
      <c r="A220" t="s">
        <v>237</v>
      </c>
      <c r="B220" t="s">
        <v>139</v>
      </c>
      <c r="G220" t="s">
        <v>586</v>
      </c>
    </row>
    <row r="221" spans="1:7" ht="12.75">
      <c r="A221" t="s">
        <v>236</v>
      </c>
      <c r="B221" t="s">
        <v>139</v>
      </c>
      <c r="G221" t="s">
        <v>579</v>
      </c>
    </row>
    <row r="222" spans="1:7" ht="12.75">
      <c r="A222" t="s">
        <v>233</v>
      </c>
      <c r="B222" t="s">
        <v>139</v>
      </c>
      <c r="G222" t="s">
        <v>580</v>
      </c>
    </row>
    <row r="223" spans="1:7" ht="12.75">
      <c r="A223" t="s">
        <v>235</v>
      </c>
      <c r="B223" t="s">
        <v>139</v>
      </c>
      <c r="G223" t="s">
        <v>581</v>
      </c>
    </row>
    <row r="224" spans="1:7" ht="12.75">
      <c r="A224" t="s">
        <v>234</v>
      </c>
      <c r="B224" t="s">
        <v>139</v>
      </c>
      <c r="G224" t="s">
        <v>577</v>
      </c>
    </row>
    <row r="225" spans="1:7" ht="12.75">
      <c r="A225" t="s">
        <v>232</v>
      </c>
      <c r="B225" t="s">
        <v>139</v>
      </c>
      <c r="G225" t="s">
        <v>578</v>
      </c>
    </row>
    <row r="226" spans="1:7" ht="12.75">
      <c r="A226" t="s">
        <v>231</v>
      </c>
      <c r="B226" t="s">
        <v>139</v>
      </c>
      <c r="G226" t="s">
        <v>223</v>
      </c>
    </row>
    <row r="227" spans="1:2" ht="12.75">
      <c r="A227" t="s">
        <v>230</v>
      </c>
      <c r="B227" t="s">
        <v>139</v>
      </c>
    </row>
    <row r="228" spans="1:2" ht="12.75">
      <c r="A228" t="s">
        <v>229</v>
      </c>
      <c r="B228" t="s">
        <v>139</v>
      </c>
    </row>
    <row r="229" spans="1:2" ht="12.75">
      <c r="A229" t="s">
        <v>224</v>
      </c>
      <c r="B229" t="s">
        <v>138</v>
      </c>
    </row>
    <row r="230" spans="1:2" ht="12.75">
      <c r="A230" t="s">
        <v>293</v>
      </c>
      <c r="B230" t="s">
        <v>136</v>
      </c>
    </row>
    <row r="231" spans="1:2" ht="12.75">
      <c r="A231" t="s">
        <v>306</v>
      </c>
      <c r="B231" t="s">
        <v>137</v>
      </c>
    </row>
    <row r="232" spans="1:2" ht="12.75">
      <c r="A232" t="s">
        <v>228</v>
      </c>
      <c r="B232" t="s">
        <v>138</v>
      </c>
    </row>
    <row r="233" spans="1:2" ht="12.75">
      <c r="A233" t="s">
        <v>244</v>
      </c>
      <c r="B233" t="s">
        <v>139</v>
      </c>
    </row>
    <row r="234" spans="1:2" ht="12.75">
      <c r="A234" t="s">
        <v>243</v>
      </c>
      <c r="B234" t="s">
        <v>139</v>
      </c>
    </row>
    <row r="235" spans="1:2" ht="12.75">
      <c r="A235" t="s">
        <v>242</v>
      </c>
      <c r="B235" t="s">
        <v>139</v>
      </c>
    </row>
    <row r="236" spans="1:2" ht="12.75">
      <c r="A236" t="s">
        <v>239</v>
      </c>
      <c r="B236" t="s">
        <v>139</v>
      </c>
    </row>
    <row r="237" spans="1:2" ht="12.75">
      <c r="A237" t="s">
        <v>240</v>
      </c>
      <c r="B237" t="s">
        <v>139</v>
      </c>
    </row>
    <row r="238" spans="1:2" ht="12.75">
      <c r="A238" t="s">
        <v>241</v>
      </c>
      <c r="B238" t="s">
        <v>139</v>
      </c>
    </row>
    <row r="239" spans="1:2" ht="12.75">
      <c r="A239" t="s">
        <v>227</v>
      </c>
      <c r="B239" t="s">
        <v>138</v>
      </c>
    </row>
    <row r="240" spans="1:2" ht="12.75">
      <c r="A240" t="s">
        <v>302</v>
      </c>
      <c r="B240" t="s">
        <v>137</v>
      </c>
    </row>
    <row r="241" spans="1:2" ht="12.75">
      <c r="A241" t="s">
        <v>303</v>
      </c>
      <c r="B241" t="s">
        <v>136</v>
      </c>
    </row>
    <row r="242" spans="1:2" ht="12.75">
      <c r="A242" t="s">
        <v>290</v>
      </c>
      <c r="B242" t="s">
        <v>136</v>
      </c>
    </row>
    <row r="243" spans="1:2" ht="12.75">
      <c r="A243" t="s">
        <v>289</v>
      </c>
      <c r="B243" t="s">
        <v>136</v>
      </c>
    </row>
    <row r="244" spans="1:2" ht="12.75">
      <c r="A244" t="s">
        <v>288</v>
      </c>
      <c r="B244" t="s">
        <v>136</v>
      </c>
    </row>
    <row r="245" spans="1:2" ht="12.75">
      <c r="A245" t="s">
        <v>291</v>
      </c>
      <c r="B245" t="s">
        <v>136</v>
      </c>
    </row>
    <row r="246" spans="1:2" ht="12.75">
      <c r="A246" t="s">
        <v>305</v>
      </c>
      <c r="B246" t="s">
        <v>137</v>
      </c>
    </row>
    <row r="247" spans="1:2" ht="12.75">
      <c r="A247" t="s">
        <v>292</v>
      </c>
      <c r="B247" t="s">
        <v>136</v>
      </c>
    </row>
    <row r="248" spans="1:2" ht="12.75">
      <c r="A248" t="s">
        <v>282</v>
      </c>
      <c r="B248" t="s">
        <v>357</v>
      </c>
    </row>
    <row r="249" spans="1:2" ht="12.75">
      <c r="A249" t="s">
        <v>264</v>
      </c>
      <c r="B249" t="s">
        <v>219</v>
      </c>
    </row>
    <row r="250" spans="1:2" ht="12.75">
      <c r="A250" t="s">
        <v>250</v>
      </c>
      <c r="B250" t="s">
        <v>139</v>
      </c>
    </row>
    <row r="251" spans="1:2" ht="12.75">
      <c r="A251" t="s">
        <v>263</v>
      </c>
      <c r="B251" t="s">
        <v>219</v>
      </c>
    </row>
    <row r="252" spans="1:2" ht="12.75">
      <c r="A252" t="s">
        <v>262</v>
      </c>
      <c r="B252" t="s">
        <v>219</v>
      </c>
    </row>
    <row r="253" spans="1:2" ht="12.75">
      <c r="A253" t="s">
        <v>261</v>
      </c>
      <c r="B253" t="s">
        <v>219</v>
      </c>
    </row>
    <row r="254" spans="1:2" ht="12.75">
      <c r="A254" t="s">
        <v>252</v>
      </c>
      <c r="B254" t="s">
        <v>139</v>
      </c>
    </row>
    <row r="255" spans="1:2" ht="12.75">
      <c r="A255" t="s">
        <v>253</v>
      </c>
      <c r="B255" t="s">
        <v>139</v>
      </c>
    </row>
    <row r="256" spans="1:2" ht="12.75">
      <c r="A256" t="s">
        <v>254</v>
      </c>
      <c r="B256" t="s">
        <v>219</v>
      </c>
    </row>
    <row r="257" spans="1:2" ht="12.75">
      <c r="A257" t="s">
        <v>265</v>
      </c>
      <c r="B257" t="s">
        <v>219</v>
      </c>
    </row>
    <row r="258" spans="1:2" ht="12.75">
      <c r="A258" t="s">
        <v>266</v>
      </c>
      <c r="B258" t="s">
        <v>219</v>
      </c>
    </row>
    <row r="259" spans="1:2" ht="12.75">
      <c r="A259" t="s">
        <v>248</v>
      </c>
      <c r="B259" t="s">
        <v>139</v>
      </c>
    </row>
    <row r="260" spans="1:2" ht="12.75">
      <c r="A260" t="s">
        <v>249</v>
      </c>
      <c r="B260" t="s">
        <v>139</v>
      </c>
    </row>
    <row r="261" spans="1:2" ht="12.75">
      <c r="A261" t="s">
        <v>267</v>
      </c>
      <c r="B261" t="s">
        <v>219</v>
      </c>
    </row>
    <row r="262" spans="1:2" ht="12.75">
      <c r="A262" t="s">
        <v>268</v>
      </c>
      <c r="B262" t="s">
        <v>219</v>
      </c>
    </row>
    <row r="263" spans="1:2" ht="12.75">
      <c r="A263" t="s">
        <v>269</v>
      </c>
      <c r="B263" t="s">
        <v>219</v>
      </c>
    </row>
    <row r="264" spans="1:2" ht="12.75">
      <c r="A264" t="s">
        <v>245</v>
      </c>
      <c r="B264" t="s">
        <v>139</v>
      </c>
    </row>
    <row r="265" spans="1:2" ht="12.75">
      <c r="A265" t="s">
        <v>255</v>
      </c>
      <c r="B265" t="s">
        <v>219</v>
      </c>
    </row>
    <row r="266" spans="1:2" ht="12.75">
      <c r="A266" t="s">
        <v>256</v>
      </c>
      <c r="B266" t="s">
        <v>219</v>
      </c>
    </row>
    <row r="267" spans="1:2" ht="12.75">
      <c r="A267" t="s">
        <v>295</v>
      </c>
      <c r="B267" t="s">
        <v>139</v>
      </c>
    </row>
    <row r="268" spans="1:2" ht="12.75">
      <c r="A268" t="s">
        <v>304</v>
      </c>
      <c r="B268" t="s">
        <v>136</v>
      </c>
    </row>
    <row r="269" spans="1:2" ht="12.75">
      <c r="A269" t="s">
        <v>294</v>
      </c>
      <c r="B269" t="s">
        <v>137</v>
      </c>
    </row>
    <row r="270" spans="1:2" ht="12.75">
      <c r="A270" t="s">
        <v>307</v>
      </c>
      <c r="B270" t="s">
        <v>137</v>
      </c>
    </row>
    <row r="271" spans="1:2" ht="12.75">
      <c r="A271" t="s">
        <v>270</v>
      </c>
      <c r="B271" t="s">
        <v>219</v>
      </c>
    </row>
    <row r="272" spans="1:2" ht="12.75">
      <c r="A272" t="s">
        <v>272</v>
      </c>
      <c r="B272" t="s">
        <v>219</v>
      </c>
    </row>
    <row r="273" spans="1:2" ht="12.75">
      <c r="A273" t="s">
        <v>251</v>
      </c>
      <c r="B273" t="s">
        <v>139</v>
      </c>
    </row>
    <row r="274" spans="1:2" ht="12.75">
      <c r="A274" t="s">
        <v>273</v>
      </c>
      <c r="B274" t="s">
        <v>219</v>
      </c>
    </row>
    <row r="275" spans="1:2" ht="12.75">
      <c r="A275" t="s">
        <v>274</v>
      </c>
      <c r="B275" t="s">
        <v>139</v>
      </c>
    </row>
    <row r="276" spans="1:2" ht="12.75">
      <c r="A276" t="s">
        <v>271</v>
      </c>
      <c r="B276" t="s">
        <v>219</v>
      </c>
    </row>
    <row r="277" spans="1:2" ht="12.75">
      <c r="A277" t="s">
        <v>275</v>
      </c>
      <c r="B277" t="s">
        <v>219</v>
      </c>
    </row>
    <row r="278" spans="1:2" ht="12.75">
      <c r="A278" t="s">
        <v>276</v>
      </c>
      <c r="B278" t="s">
        <v>139</v>
      </c>
    </row>
    <row r="279" spans="1:2" ht="12.75">
      <c r="A279" t="s">
        <v>247</v>
      </c>
      <c r="B279" t="s">
        <v>139</v>
      </c>
    </row>
    <row r="280" spans="1:2" ht="12.75">
      <c r="A280" t="s">
        <v>259</v>
      </c>
      <c r="B280" t="s">
        <v>219</v>
      </c>
    </row>
    <row r="281" spans="1:2" ht="12.75">
      <c r="A281" t="s">
        <v>260</v>
      </c>
      <c r="B281" t="s">
        <v>219</v>
      </c>
    </row>
    <row r="282" spans="1:2" ht="12.75">
      <c r="A282" t="s">
        <v>257</v>
      </c>
      <c r="B282" t="s">
        <v>219</v>
      </c>
    </row>
    <row r="283" spans="1:2" ht="12.75">
      <c r="A283" t="s">
        <v>258</v>
      </c>
      <c r="B283" t="s">
        <v>219</v>
      </c>
    </row>
    <row r="284" spans="1:2" ht="12.75">
      <c r="A284" t="s">
        <v>246</v>
      </c>
      <c r="B284" t="s">
        <v>139</v>
      </c>
    </row>
  </sheetData>
  <mergeCells count="1">
    <mergeCell ref="A10:D11"/>
  </mergeCells>
  <dataValidations count="3">
    <dataValidation type="list" allowBlank="1" showInputMessage="1" showErrorMessage="1" sqref="A43">
      <formula1>$G$213:$G$226</formula1>
    </dataValidation>
    <dataValidation type="list" allowBlank="1" showInputMessage="1" showErrorMessage="1" sqref="A12 G10:G12">
      <formula1>$A$200:$A$284</formula1>
    </dataValidation>
    <dataValidation type="list" allowBlank="1" showInputMessage="1" showErrorMessage="1" sqref="A8">
      <formula1>$G$200:$G$208</formula1>
    </dataValidation>
  </dataValidations>
  <hyperlinks>
    <hyperlink ref="A2" r:id="rId1" display="http://www.boeing.com/cmo"/>
  </hyperlinks>
  <printOptions/>
  <pageMargins left="0.75" right="0.75" top="1" bottom="1" header="0.5" footer="0.5"/>
  <pageSetup fitToHeight="1" fitToWidth="1" horizontalDpi="1200" verticalDpi="1200" orientation="portrait" paperSize="9" scale="81" r:id="rId2"/>
  <headerFooter alignWithMargins="0">
    <oddFooter>&amp;L&amp;"Arial,Italic"Boeing Current Market Outlook 2009-2028&amp;R(c) Boeing 2009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40"/>
    <pageSetUpPr fitToPage="1"/>
  </sheetPr>
  <dimension ref="A1:K224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22.140625" style="0" customWidth="1"/>
    <col min="3" max="3" width="13.421875" style="3" bestFit="1" customWidth="1"/>
    <col min="4" max="4" width="13.140625" style="3" customWidth="1"/>
    <col min="5" max="5" width="11.00390625" style="3" customWidth="1"/>
    <col min="6" max="6" width="14.8515625" style="3" customWidth="1"/>
    <col min="7" max="7" width="13.28125" style="79" customWidth="1"/>
    <col min="8" max="8" width="9.28125" style="0" customWidth="1"/>
    <col min="9" max="9" width="9.8515625" style="0" customWidth="1"/>
    <col min="10" max="10" width="9.00390625" style="0" customWidth="1"/>
    <col min="11" max="11" width="10.140625" style="0" customWidth="1"/>
    <col min="12" max="12" width="8.7109375" style="0" customWidth="1"/>
    <col min="13" max="16384" width="9.00390625" style="0" customWidth="1"/>
  </cols>
  <sheetData>
    <row r="1" ht="15.75">
      <c r="A1" s="78" t="s">
        <v>46</v>
      </c>
    </row>
    <row r="2" ht="15.75">
      <c r="A2" s="80" t="s">
        <v>47</v>
      </c>
    </row>
    <row r="3" ht="15.75">
      <c r="A3" s="78" t="s">
        <v>392</v>
      </c>
    </row>
    <row r="4" ht="12.75">
      <c r="F4" s="180" t="s">
        <v>565</v>
      </c>
    </row>
    <row r="5" spans="1:6" ht="12.75">
      <c r="A5" s="90" t="s">
        <v>495</v>
      </c>
      <c r="F5" s="179" t="s">
        <v>563</v>
      </c>
    </row>
    <row r="6" ht="12.75">
      <c r="A6" s="91"/>
    </row>
    <row r="7" spans="1:6" ht="15.75">
      <c r="A7" s="78"/>
      <c r="B7" s="5" t="s">
        <v>393</v>
      </c>
      <c r="F7" s="10" t="s">
        <v>394</v>
      </c>
    </row>
    <row r="8" spans="1:9" ht="15.75">
      <c r="A8" s="78"/>
      <c r="B8" s="292" t="s">
        <v>48</v>
      </c>
      <c r="F8" s="9" t="s">
        <v>395</v>
      </c>
      <c r="I8" s="291" t="s">
        <v>49</v>
      </c>
    </row>
    <row r="9" spans="1:9" ht="15.75">
      <c r="A9" s="78"/>
      <c r="B9" s="4" t="s">
        <v>396</v>
      </c>
      <c r="F9" s="10" t="s">
        <v>79</v>
      </c>
      <c r="H9" s="81" t="s">
        <v>397</v>
      </c>
      <c r="I9" s="81" t="s">
        <v>379</v>
      </c>
    </row>
    <row r="10" spans="1:9" ht="15.75">
      <c r="A10" s="78"/>
      <c r="B10" s="8" t="s">
        <v>398</v>
      </c>
      <c r="C10" s="82">
        <v>0.033</v>
      </c>
      <c r="F10" s="9" t="s">
        <v>483</v>
      </c>
      <c r="H10" s="302">
        <v>1510</v>
      </c>
      <c r="I10" s="302">
        <v>11450</v>
      </c>
    </row>
    <row r="11" spans="1:9" ht="15.75">
      <c r="A11" s="78"/>
      <c r="B11" s="8" t="s">
        <v>399</v>
      </c>
      <c r="C11" s="84">
        <v>0.03620352164342089</v>
      </c>
      <c r="F11" s="9" t="s">
        <v>102</v>
      </c>
      <c r="H11" s="302">
        <v>880</v>
      </c>
      <c r="I11" s="302">
        <v>7550</v>
      </c>
    </row>
    <row r="12" spans="1:9" ht="15.75">
      <c r="A12" s="78"/>
      <c r="B12" s="8" t="s">
        <v>400</v>
      </c>
      <c r="C12" s="319">
        <v>0.042</v>
      </c>
      <c r="F12" s="9" t="s">
        <v>101</v>
      </c>
      <c r="H12" s="302">
        <v>760</v>
      </c>
      <c r="I12" s="302">
        <v>7530</v>
      </c>
    </row>
    <row r="13" spans="1:9" ht="15.75">
      <c r="A13" s="78"/>
      <c r="B13" s="8" t="s">
        <v>401</v>
      </c>
      <c r="C13" s="82">
        <v>0.051</v>
      </c>
      <c r="F13" s="9" t="s">
        <v>103</v>
      </c>
      <c r="H13" s="302">
        <v>450</v>
      </c>
      <c r="I13" s="302">
        <v>2520</v>
      </c>
    </row>
    <row r="14" spans="1:9" ht="15.75">
      <c r="A14" s="78"/>
      <c r="B14" s="8" t="s">
        <v>402</v>
      </c>
      <c r="C14" s="82">
        <v>0.056</v>
      </c>
      <c r="F14" s="9" t="s">
        <v>104</v>
      </c>
      <c r="H14" s="302">
        <v>250</v>
      </c>
      <c r="I14" s="302">
        <v>2570</v>
      </c>
    </row>
    <row r="15" spans="1:9" ht="15.75">
      <c r="A15" s="78"/>
      <c r="F15" s="9" t="s">
        <v>57</v>
      </c>
      <c r="H15" s="302">
        <v>110</v>
      </c>
      <c r="I15" s="302">
        <v>1080</v>
      </c>
    </row>
    <row r="16" spans="1:9" ht="15.75">
      <c r="A16" s="78"/>
      <c r="F16" s="63" t="s">
        <v>105</v>
      </c>
      <c r="G16" s="162"/>
      <c r="H16" s="309">
        <v>100</v>
      </c>
      <c r="I16" s="309">
        <v>800</v>
      </c>
    </row>
    <row r="17" spans="1:9" ht="15.75">
      <c r="A17" s="78"/>
      <c r="F17" s="4" t="s">
        <v>223</v>
      </c>
      <c r="G17" s="86"/>
      <c r="H17" s="305">
        <v>4060</v>
      </c>
      <c r="I17" s="305">
        <v>33500</v>
      </c>
    </row>
    <row r="18" ht="15.75">
      <c r="A18" s="78"/>
    </row>
    <row r="19" spans="1:6" ht="15.75">
      <c r="A19" s="78"/>
      <c r="B19" s="4" t="s">
        <v>403</v>
      </c>
      <c r="E19" s="79"/>
      <c r="F19" s="88" t="s">
        <v>404</v>
      </c>
    </row>
    <row r="20" spans="1:6" ht="15.75">
      <c r="A20" s="78"/>
      <c r="B20" s="292" t="s">
        <v>49</v>
      </c>
      <c r="F20" s="292" t="s">
        <v>50</v>
      </c>
    </row>
    <row r="21" spans="1:8" ht="15.75">
      <c r="A21" s="78"/>
      <c r="B21" s="11" t="s">
        <v>405</v>
      </c>
      <c r="C21" s="81" t="s">
        <v>406</v>
      </c>
      <c r="D21" s="81" t="s">
        <v>379</v>
      </c>
      <c r="F21" s="4" t="s">
        <v>405</v>
      </c>
      <c r="G21" s="5">
        <v>2010</v>
      </c>
      <c r="H21" s="5">
        <v>2030</v>
      </c>
    </row>
    <row r="22" spans="1:10" ht="15.75">
      <c r="A22" s="78"/>
      <c r="B22" s="89" t="s">
        <v>357</v>
      </c>
      <c r="C22" s="83">
        <v>270</v>
      </c>
      <c r="D22" s="83">
        <v>820</v>
      </c>
      <c r="F22" s="89" t="s">
        <v>357</v>
      </c>
      <c r="G22" s="25">
        <v>770</v>
      </c>
      <c r="H22" s="25">
        <v>1140</v>
      </c>
      <c r="I22" s="385"/>
      <c r="J22" s="385"/>
    </row>
    <row r="23" spans="1:10" ht="15.75">
      <c r="A23" s="78"/>
      <c r="B23" s="89" t="s">
        <v>407</v>
      </c>
      <c r="C23" s="83">
        <v>1770</v>
      </c>
      <c r="D23" s="83">
        <v>7330</v>
      </c>
      <c r="F23" s="89" t="s">
        <v>407</v>
      </c>
      <c r="G23" s="25">
        <v>3640</v>
      </c>
      <c r="H23" s="83">
        <v>8570</v>
      </c>
      <c r="I23" s="385"/>
      <c r="J23" s="385"/>
    </row>
    <row r="24" spans="1:10" ht="15.75">
      <c r="A24" s="78"/>
      <c r="B24" s="89" t="s">
        <v>408</v>
      </c>
      <c r="C24" s="302">
        <v>1950</v>
      </c>
      <c r="D24" s="83">
        <v>23370</v>
      </c>
      <c r="F24" s="89" t="s">
        <v>408</v>
      </c>
      <c r="G24" s="25">
        <v>12100</v>
      </c>
      <c r="H24" s="83">
        <v>27750</v>
      </c>
      <c r="I24" s="385"/>
      <c r="J24" s="385"/>
    </row>
    <row r="25" spans="1:10" ht="15.75">
      <c r="A25" s="78"/>
      <c r="B25" s="76" t="s">
        <v>219</v>
      </c>
      <c r="C25" s="85">
        <v>70</v>
      </c>
      <c r="D25" s="85">
        <v>1980</v>
      </c>
      <c r="F25" s="76" t="s">
        <v>219</v>
      </c>
      <c r="G25" s="85">
        <v>2900</v>
      </c>
      <c r="H25" s="85">
        <v>2070</v>
      </c>
      <c r="I25" s="385"/>
      <c r="J25" s="385"/>
    </row>
    <row r="26" spans="1:8" ht="15.75">
      <c r="A26" s="78"/>
      <c r="B26" s="4" t="s">
        <v>223</v>
      </c>
      <c r="C26" s="87">
        <v>4060</v>
      </c>
      <c r="D26" s="87">
        <v>33500</v>
      </c>
      <c r="F26" s="4" t="s">
        <v>223</v>
      </c>
      <c r="G26" s="163">
        <v>19410</v>
      </c>
      <c r="H26" s="163">
        <v>39530</v>
      </c>
    </row>
    <row r="27" ht="15.75">
      <c r="A27" s="78"/>
    </row>
    <row r="28" spans="1:9" ht="12.75">
      <c r="A28" s="90"/>
      <c r="B28" s="91"/>
      <c r="C28" s="92"/>
      <c r="D28" s="92"/>
      <c r="E28" s="92"/>
      <c r="F28" s="92"/>
      <c r="G28" s="93"/>
      <c r="H28" s="91"/>
      <c r="I28" s="91"/>
    </row>
    <row r="29" spans="1:9" ht="12.75">
      <c r="A29" s="90" t="s">
        <v>494</v>
      </c>
      <c r="C29" s="92"/>
      <c r="D29" s="92"/>
      <c r="E29" s="92"/>
      <c r="F29" s="92"/>
      <c r="G29" s="93"/>
      <c r="H29" s="91"/>
      <c r="I29" s="362"/>
    </row>
    <row r="30" spans="1:9" ht="12.75">
      <c r="A30" s="91"/>
      <c r="B30" s="91"/>
      <c r="C30" s="92"/>
      <c r="D30" s="92"/>
      <c r="E30" s="92"/>
      <c r="F30" s="92"/>
      <c r="G30" s="93"/>
      <c r="H30" s="91"/>
      <c r="I30" s="338"/>
    </row>
    <row r="31" spans="1:9" ht="12.75">
      <c r="A31" s="90"/>
      <c r="B31" s="4" t="s">
        <v>394</v>
      </c>
      <c r="C31" s="92"/>
      <c r="D31" s="291" t="s">
        <v>49</v>
      </c>
      <c r="E31" s="92"/>
      <c r="F31" s="92"/>
      <c r="G31" s="93"/>
      <c r="H31" s="91"/>
      <c r="I31" s="91"/>
    </row>
    <row r="32" spans="1:9" ht="12.75">
      <c r="A32" s="90"/>
      <c r="B32" s="8" t="s">
        <v>395</v>
      </c>
      <c r="C32" s="92"/>
      <c r="D32" s="92"/>
      <c r="E32" s="92"/>
      <c r="F32" s="92"/>
      <c r="G32"/>
      <c r="H32" s="91"/>
      <c r="I32" s="91"/>
    </row>
    <row r="33" spans="1:9" ht="12.75">
      <c r="A33" s="90"/>
      <c r="B33" s="4" t="s">
        <v>79</v>
      </c>
      <c r="C33" s="81" t="s">
        <v>397</v>
      </c>
      <c r="D33" s="81" t="s">
        <v>379</v>
      </c>
      <c r="E33" s="92"/>
      <c r="F33" s="92"/>
      <c r="G33"/>
      <c r="H33" s="91"/>
      <c r="I33" s="91"/>
    </row>
    <row r="34" spans="1:9" ht="12.75">
      <c r="A34" s="90"/>
      <c r="B34" s="9" t="s">
        <v>483</v>
      </c>
      <c r="C34" s="83">
        <v>1510</v>
      </c>
      <c r="D34" s="83">
        <v>11450</v>
      </c>
      <c r="E34" s="92"/>
      <c r="F34" s="92"/>
      <c r="G34"/>
      <c r="H34" s="91"/>
      <c r="I34" s="91"/>
    </row>
    <row r="35" spans="1:9" ht="12.75">
      <c r="A35" s="90"/>
      <c r="B35" s="9" t="s">
        <v>102</v>
      </c>
      <c r="C35" s="83">
        <v>880</v>
      </c>
      <c r="D35" s="83">
        <v>7550</v>
      </c>
      <c r="E35" s="92"/>
      <c r="F35" s="92"/>
      <c r="G35"/>
      <c r="H35" s="91"/>
      <c r="I35" s="91"/>
    </row>
    <row r="36" spans="1:9" ht="12.75">
      <c r="A36" s="90"/>
      <c r="B36" s="9" t="s">
        <v>101</v>
      </c>
      <c r="C36" s="83">
        <v>760</v>
      </c>
      <c r="D36" s="83">
        <v>7530</v>
      </c>
      <c r="E36" s="92"/>
      <c r="F36" s="92"/>
      <c r="G36"/>
      <c r="H36" s="91"/>
      <c r="I36" s="91"/>
    </row>
    <row r="37" spans="1:9" ht="12.75">
      <c r="A37" s="90"/>
      <c r="B37" s="9" t="s">
        <v>103</v>
      </c>
      <c r="C37" s="83">
        <v>450</v>
      </c>
      <c r="D37" s="83">
        <v>2520</v>
      </c>
      <c r="E37" s="92"/>
      <c r="F37" s="92"/>
      <c r="G37"/>
      <c r="H37" s="91"/>
      <c r="I37" s="91"/>
    </row>
    <row r="38" spans="1:9" ht="12.75">
      <c r="A38" s="90"/>
      <c r="B38" s="9" t="s">
        <v>104</v>
      </c>
      <c r="C38" s="83">
        <v>250</v>
      </c>
      <c r="D38" s="83">
        <v>2570</v>
      </c>
      <c r="E38" s="92"/>
      <c r="F38" s="92"/>
      <c r="G38"/>
      <c r="H38" s="91"/>
      <c r="I38" s="91"/>
    </row>
    <row r="39" spans="1:9" ht="12.75">
      <c r="A39" s="90"/>
      <c r="B39" s="9" t="s">
        <v>57</v>
      </c>
      <c r="C39" s="83">
        <v>110</v>
      </c>
      <c r="D39" s="83">
        <v>1080</v>
      </c>
      <c r="E39" s="92"/>
      <c r="F39" s="92"/>
      <c r="G39"/>
      <c r="H39" s="91"/>
      <c r="I39" s="91"/>
    </row>
    <row r="40" spans="1:11" ht="12.75">
      <c r="A40" s="90"/>
      <c r="B40" s="63" t="s">
        <v>105</v>
      </c>
      <c r="C40" s="85">
        <v>100</v>
      </c>
      <c r="D40" s="85">
        <v>800</v>
      </c>
      <c r="E40" s="92"/>
      <c r="F40" s="92"/>
      <c r="G40" s="93"/>
      <c r="H40" s="91"/>
      <c r="I40" s="91"/>
      <c r="J40" s="91"/>
      <c r="K40" s="91"/>
    </row>
    <row r="41" spans="1:11" ht="12.75">
      <c r="A41" s="90"/>
      <c r="B41" s="4" t="s">
        <v>223</v>
      </c>
      <c r="C41" s="87">
        <v>4060</v>
      </c>
      <c r="D41" s="87">
        <v>33500</v>
      </c>
      <c r="E41" s="92"/>
      <c r="F41" s="92"/>
      <c r="G41" s="93"/>
      <c r="H41" s="91"/>
      <c r="I41" s="91"/>
      <c r="J41" s="91"/>
      <c r="K41" s="91"/>
    </row>
    <row r="42" spans="1:11" ht="12.75">
      <c r="A42" s="90"/>
      <c r="B42" s="91"/>
      <c r="C42" s="92"/>
      <c r="D42" s="92"/>
      <c r="E42" s="92"/>
      <c r="F42" s="92"/>
      <c r="G42" s="93"/>
      <c r="H42" s="91"/>
      <c r="I42" s="91"/>
      <c r="J42" s="91"/>
      <c r="K42" s="91"/>
    </row>
    <row r="43" spans="1:11" ht="12.75">
      <c r="A43" s="90"/>
      <c r="B43" s="8" t="s">
        <v>51</v>
      </c>
      <c r="C43" s="92"/>
      <c r="D43" s="92"/>
      <c r="E43" s="92"/>
      <c r="F43" s="92"/>
      <c r="G43" s="93"/>
      <c r="H43" s="91"/>
      <c r="I43" s="91"/>
      <c r="J43" s="91"/>
      <c r="K43" s="91"/>
    </row>
    <row r="44" spans="1:11" ht="12.75">
      <c r="A44" s="90"/>
      <c r="B44" s="91"/>
      <c r="C44" s="92"/>
      <c r="D44" s="92"/>
      <c r="E44" s="92"/>
      <c r="F44" s="92"/>
      <c r="G44" s="93"/>
      <c r="H44" s="91"/>
      <c r="I44" s="91"/>
      <c r="J44" s="91"/>
      <c r="K44" s="91"/>
    </row>
    <row r="45" spans="1:11" ht="12.75">
      <c r="A45" s="90"/>
      <c r="B45" s="4" t="s">
        <v>496</v>
      </c>
      <c r="C45" s="92"/>
      <c r="D45" s="92"/>
      <c r="E45" s="92"/>
      <c r="F45" s="4" t="s">
        <v>499</v>
      </c>
      <c r="G45" s="92"/>
      <c r="H45" s="291" t="s">
        <v>49</v>
      </c>
      <c r="I45" s="91"/>
      <c r="J45" s="91"/>
      <c r="K45" s="91"/>
    </row>
    <row r="46" spans="1:11" ht="12.75">
      <c r="A46" s="90"/>
      <c r="B46" s="4" t="s">
        <v>405</v>
      </c>
      <c r="C46" s="5">
        <v>2010</v>
      </c>
      <c r="D46" s="5">
        <v>2030</v>
      </c>
      <c r="E46" s="92"/>
      <c r="F46" s="4" t="s">
        <v>405</v>
      </c>
      <c r="G46" s="81" t="s">
        <v>406</v>
      </c>
      <c r="H46" s="81" t="s">
        <v>379</v>
      </c>
      <c r="I46" s="338"/>
      <c r="J46" s="338"/>
      <c r="K46" s="91"/>
    </row>
    <row r="47" spans="1:11" ht="12.75">
      <c r="A47" s="90"/>
      <c r="B47" s="89" t="s">
        <v>357</v>
      </c>
      <c r="C47" s="25">
        <v>770</v>
      </c>
      <c r="D47" s="25">
        <v>1140</v>
      </c>
      <c r="E47" s="92"/>
      <c r="F47" s="89" t="s">
        <v>357</v>
      </c>
      <c r="G47" s="83">
        <v>270</v>
      </c>
      <c r="H47" s="83">
        <v>820</v>
      </c>
      <c r="I47" s="338"/>
      <c r="J47" s="338"/>
      <c r="K47" s="91"/>
    </row>
    <row r="48" spans="1:11" ht="12.75">
      <c r="A48" s="90"/>
      <c r="B48" s="89" t="s">
        <v>407</v>
      </c>
      <c r="C48" s="25">
        <v>3640</v>
      </c>
      <c r="D48" s="25">
        <v>8570</v>
      </c>
      <c r="E48" s="92"/>
      <c r="F48" s="89" t="s">
        <v>407</v>
      </c>
      <c r="G48" s="83">
        <v>1770</v>
      </c>
      <c r="H48" s="83">
        <v>7330</v>
      </c>
      <c r="I48" s="338"/>
      <c r="J48" s="338"/>
      <c r="K48" s="91"/>
    </row>
    <row r="49" spans="1:11" ht="12.75">
      <c r="A49" s="90"/>
      <c r="B49" s="89" t="s">
        <v>408</v>
      </c>
      <c r="C49" s="25">
        <v>12100</v>
      </c>
      <c r="D49" s="25">
        <v>27750</v>
      </c>
      <c r="E49" s="92"/>
      <c r="F49" s="89" t="s">
        <v>408</v>
      </c>
      <c r="G49" s="83">
        <v>1950</v>
      </c>
      <c r="H49" s="83">
        <v>23370</v>
      </c>
      <c r="I49" s="338"/>
      <c r="J49" s="338"/>
      <c r="K49" s="91"/>
    </row>
    <row r="50" spans="1:11" ht="12.75">
      <c r="A50" s="90"/>
      <c r="B50" s="76" t="s">
        <v>219</v>
      </c>
      <c r="C50" s="114">
        <v>2900</v>
      </c>
      <c r="D50" s="114">
        <v>2070</v>
      </c>
      <c r="E50" s="92"/>
      <c r="F50" s="76" t="s">
        <v>219</v>
      </c>
      <c r="G50" s="85">
        <v>70</v>
      </c>
      <c r="H50" s="85">
        <v>1980</v>
      </c>
      <c r="I50" s="338"/>
      <c r="J50" s="338"/>
      <c r="K50" s="91"/>
    </row>
    <row r="51" spans="1:11" ht="12.75">
      <c r="A51" s="90"/>
      <c r="B51" s="4" t="s">
        <v>223</v>
      </c>
      <c r="C51" s="87">
        <v>19410</v>
      </c>
      <c r="D51" s="87">
        <v>39530</v>
      </c>
      <c r="E51" s="92"/>
      <c r="F51" s="4" t="s">
        <v>223</v>
      </c>
      <c r="G51" s="87">
        <v>4060</v>
      </c>
      <c r="H51" s="87">
        <v>33500</v>
      </c>
      <c r="I51" s="91"/>
      <c r="J51" s="91"/>
      <c r="K51" s="91"/>
    </row>
    <row r="52" spans="1:11" ht="12.75">
      <c r="A52" s="90"/>
      <c r="B52" s="91"/>
      <c r="C52" s="92"/>
      <c r="D52" s="92"/>
      <c r="E52" s="92"/>
      <c r="F52" s="91"/>
      <c r="G52" s="92"/>
      <c r="H52" s="92"/>
      <c r="I52" s="91"/>
      <c r="J52" s="91"/>
      <c r="K52" s="91"/>
    </row>
    <row r="53" spans="1:11" ht="12.75">
      <c r="A53" s="90"/>
      <c r="B53" s="4" t="s">
        <v>497</v>
      </c>
      <c r="C53" s="92"/>
      <c r="D53" s="92"/>
      <c r="E53" s="92"/>
      <c r="F53" s="4" t="s">
        <v>500</v>
      </c>
      <c r="G53" s="92"/>
      <c r="H53" s="291" t="s">
        <v>49</v>
      </c>
      <c r="I53" s="91"/>
      <c r="J53" s="91"/>
      <c r="K53" s="91"/>
    </row>
    <row r="54" spans="1:11" ht="12.75">
      <c r="A54" s="90"/>
      <c r="B54" s="4" t="s">
        <v>405</v>
      </c>
      <c r="C54" s="5">
        <v>2010</v>
      </c>
      <c r="D54" s="5">
        <v>2030</v>
      </c>
      <c r="E54" s="92"/>
      <c r="F54" s="4" t="s">
        <v>405</v>
      </c>
      <c r="G54" s="81" t="s">
        <v>406</v>
      </c>
      <c r="H54" s="81" t="s">
        <v>379</v>
      </c>
      <c r="I54" s="91"/>
      <c r="J54" s="91"/>
      <c r="K54" s="91"/>
    </row>
    <row r="55" spans="1:11" ht="12.75">
      <c r="A55" s="90"/>
      <c r="B55" s="89" t="s">
        <v>429</v>
      </c>
      <c r="C55" s="310">
        <v>460</v>
      </c>
      <c r="D55" s="310">
        <v>590</v>
      </c>
      <c r="E55" s="313"/>
      <c r="F55" s="335" t="s">
        <v>429</v>
      </c>
      <c r="G55" s="302">
        <v>180</v>
      </c>
      <c r="H55" s="302">
        <v>570</v>
      </c>
      <c r="I55" s="91"/>
      <c r="J55" s="91"/>
      <c r="K55" s="91"/>
    </row>
    <row r="56" spans="1:11" ht="12.75">
      <c r="A56" s="90"/>
      <c r="B56" s="89" t="s">
        <v>407</v>
      </c>
      <c r="C56" s="310">
        <v>2820</v>
      </c>
      <c r="D56" s="302">
        <v>6970</v>
      </c>
      <c r="E56" s="313"/>
      <c r="F56" s="335" t="s">
        <v>407</v>
      </c>
      <c r="G56" s="302">
        <v>1610</v>
      </c>
      <c r="H56" s="302">
        <v>6610</v>
      </c>
      <c r="I56" s="91"/>
      <c r="J56" s="91"/>
      <c r="K56" s="91"/>
    </row>
    <row r="57" spans="1:11" ht="12.75">
      <c r="A57" s="90"/>
      <c r="B57" s="89" t="s">
        <v>408</v>
      </c>
      <c r="C57" s="310">
        <v>11530</v>
      </c>
      <c r="D57" s="302">
        <v>26410</v>
      </c>
      <c r="E57" s="313"/>
      <c r="F57" s="335" t="s">
        <v>408</v>
      </c>
      <c r="G57" s="302">
        <v>1950</v>
      </c>
      <c r="H57" s="302">
        <v>23370</v>
      </c>
      <c r="I57" s="91"/>
      <c r="J57" s="91"/>
      <c r="K57" s="91"/>
    </row>
    <row r="58" spans="1:11" ht="12.75">
      <c r="A58" s="90"/>
      <c r="B58" s="76" t="s">
        <v>219</v>
      </c>
      <c r="C58" s="309">
        <v>2840</v>
      </c>
      <c r="D58" s="309">
        <v>2060</v>
      </c>
      <c r="E58" s="313"/>
      <c r="F58" s="340" t="s">
        <v>219</v>
      </c>
      <c r="G58" s="309">
        <v>70</v>
      </c>
      <c r="H58" s="309">
        <v>1980</v>
      </c>
      <c r="I58" s="91"/>
      <c r="J58" s="91"/>
      <c r="K58" s="91"/>
    </row>
    <row r="59" spans="1:11" ht="12.75">
      <c r="A59" s="90"/>
      <c r="B59" s="4" t="s">
        <v>223</v>
      </c>
      <c r="C59" s="305">
        <v>17650</v>
      </c>
      <c r="D59" s="305">
        <v>36030</v>
      </c>
      <c r="E59" s="313"/>
      <c r="F59" s="332" t="s">
        <v>223</v>
      </c>
      <c r="G59" s="305">
        <v>3810</v>
      </c>
      <c r="H59" s="305">
        <v>32530</v>
      </c>
      <c r="I59" s="91"/>
      <c r="J59" s="91"/>
      <c r="K59" s="91"/>
    </row>
    <row r="60" spans="1:11" ht="12.75">
      <c r="A60" s="90"/>
      <c r="B60" s="91"/>
      <c r="C60" s="313"/>
      <c r="D60" s="313"/>
      <c r="E60" s="313"/>
      <c r="F60" s="312"/>
      <c r="G60" s="313"/>
      <c r="H60" s="313"/>
      <c r="I60" s="91"/>
      <c r="J60" s="91"/>
      <c r="K60" s="91"/>
    </row>
    <row r="61" spans="1:11" ht="12.75">
      <c r="A61" s="90"/>
      <c r="B61" s="4" t="s">
        <v>498</v>
      </c>
      <c r="C61" s="313"/>
      <c r="D61" s="313"/>
      <c r="E61" s="313"/>
      <c r="F61" s="332" t="s">
        <v>501</v>
      </c>
      <c r="G61" s="313"/>
      <c r="H61" s="341" t="s">
        <v>49</v>
      </c>
      <c r="I61" s="91"/>
      <c r="J61" s="91"/>
      <c r="K61" s="91"/>
    </row>
    <row r="62" spans="1:11" ht="12.75">
      <c r="A62" s="90"/>
      <c r="B62" s="4" t="s">
        <v>405</v>
      </c>
      <c r="C62" s="300">
        <v>2010</v>
      </c>
      <c r="D62" s="300">
        <v>2030</v>
      </c>
      <c r="E62" s="313"/>
      <c r="F62" s="332" t="s">
        <v>405</v>
      </c>
      <c r="G62" s="304" t="s">
        <v>406</v>
      </c>
      <c r="H62" s="304" t="s">
        <v>379</v>
      </c>
      <c r="I62" s="91"/>
      <c r="J62" s="91"/>
      <c r="K62" s="91"/>
    </row>
    <row r="63" spans="1:11" ht="12.75">
      <c r="A63" s="90"/>
      <c r="B63" s="89" t="s">
        <v>504</v>
      </c>
      <c r="C63" s="310">
        <v>520</v>
      </c>
      <c r="D63" s="310">
        <v>1240</v>
      </c>
      <c r="E63" s="313"/>
      <c r="F63" s="335" t="s">
        <v>504</v>
      </c>
      <c r="G63" s="302">
        <v>200</v>
      </c>
      <c r="H63" s="302">
        <v>690</v>
      </c>
      <c r="I63" s="91"/>
      <c r="J63" s="91"/>
      <c r="K63" s="91"/>
    </row>
    <row r="64" spans="1:11" ht="12.75">
      <c r="A64" s="90"/>
      <c r="B64" s="89" t="s">
        <v>143</v>
      </c>
      <c r="C64" s="310">
        <v>610</v>
      </c>
      <c r="D64" s="302">
        <v>910</v>
      </c>
      <c r="E64" s="313"/>
      <c r="F64" s="335" t="s">
        <v>143</v>
      </c>
      <c r="G64" s="302">
        <v>50</v>
      </c>
      <c r="H64" s="302">
        <v>280</v>
      </c>
      <c r="I64" s="91"/>
      <c r="J64" s="91"/>
      <c r="K64" s="91"/>
    </row>
    <row r="65" spans="1:11" ht="12.75">
      <c r="A65" s="90"/>
      <c r="B65" s="76" t="s">
        <v>144</v>
      </c>
      <c r="C65" s="311">
        <v>630</v>
      </c>
      <c r="D65" s="309">
        <v>1350</v>
      </c>
      <c r="E65" s="313"/>
      <c r="F65" s="340" t="s">
        <v>144</v>
      </c>
      <c r="G65" s="309">
        <v>0</v>
      </c>
      <c r="H65" s="309">
        <v>0</v>
      </c>
      <c r="I65" s="91"/>
      <c r="J65" s="91"/>
      <c r="K65" s="91"/>
    </row>
    <row r="66" spans="1:11" ht="12.75">
      <c r="A66" s="90"/>
      <c r="B66" s="4" t="s">
        <v>223</v>
      </c>
      <c r="C66" s="305">
        <v>1760</v>
      </c>
      <c r="D66" s="305">
        <v>3500</v>
      </c>
      <c r="E66" s="313"/>
      <c r="F66" s="332" t="s">
        <v>223</v>
      </c>
      <c r="G66" s="305">
        <v>250</v>
      </c>
      <c r="H66" s="305">
        <v>970</v>
      </c>
      <c r="I66" s="91"/>
      <c r="J66" s="91"/>
      <c r="K66" s="91"/>
    </row>
    <row r="67" spans="1:11" ht="12.75">
      <c r="A67" s="90"/>
      <c r="B67" s="4"/>
      <c r="C67" s="25"/>
      <c r="D67" s="25"/>
      <c r="E67" s="92"/>
      <c r="F67" s="92"/>
      <c r="I67" s="91"/>
      <c r="J67" s="91"/>
      <c r="K67" s="91"/>
    </row>
    <row r="68" spans="1:11" ht="12.75">
      <c r="A68" s="90"/>
      <c r="B68" s="8" t="s">
        <v>502</v>
      </c>
      <c r="C68" s="25"/>
      <c r="D68" s="25"/>
      <c r="E68" s="92"/>
      <c r="F68" s="92"/>
      <c r="G68" s="93"/>
      <c r="H68" s="91"/>
      <c r="I68" s="91"/>
      <c r="J68" s="91"/>
      <c r="K68" s="91"/>
    </row>
    <row r="69" spans="1:11" ht="12.75">
      <c r="A69" s="90"/>
      <c r="B69" s="8" t="s">
        <v>503</v>
      </c>
      <c r="C69" s="92"/>
      <c r="D69" s="92"/>
      <c r="E69" s="92"/>
      <c r="F69" s="92"/>
      <c r="G69" s="93"/>
      <c r="H69" s="91"/>
      <c r="I69" s="91"/>
      <c r="J69" s="91"/>
      <c r="K69" s="91"/>
    </row>
    <row r="70" spans="1:11" ht="12.75">
      <c r="A70" s="90"/>
      <c r="B70" s="91"/>
      <c r="C70" s="92"/>
      <c r="D70" s="92"/>
      <c r="E70" s="92"/>
      <c r="F70" s="92"/>
      <c r="G70" s="93"/>
      <c r="H70" s="91"/>
      <c r="I70" s="91"/>
      <c r="J70" s="91"/>
      <c r="K70" s="91"/>
    </row>
    <row r="71" spans="1:11" ht="12.75">
      <c r="A71" s="90"/>
      <c r="B71" s="5" t="s">
        <v>409</v>
      </c>
      <c r="C71" s="94"/>
      <c r="D71" s="83"/>
      <c r="E71" s="94"/>
      <c r="F71" s="94"/>
      <c r="G71" s="291" t="s">
        <v>49</v>
      </c>
      <c r="H71" s="91"/>
      <c r="I71" s="91"/>
      <c r="J71" s="91"/>
      <c r="K71" s="91"/>
    </row>
    <row r="72" spans="1:11" ht="25.5">
      <c r="A72" s="91"/>
      <c r="B72" s="86" t="s">
        <v>79</v>
      </c>
      <c r="C72" s="31" t="s">
        <v>219</v>
      </c>
      <c r="D72" s="95" t="s">
        <v>408</v>
      </c>
      <c r="E72" s="31" t="s">
        <v>407</v>
      </c>
      <c r="F72" s="31" t="s">
        <v>357</v>
      </c>
      <c r="G72" s="31" t="s">
        <v>410</v>
      </c>
      <c r="H72" s="91"/>
      <c r="I72" s="91"/>
      <c r="J72" s="91"/>
      <c r="K72" s="91"/>
    </row>
    <row r="73" spans="1:11" ht="12.75">
      <c r="A73" s="91"/>
      <c r="B73" s="96" t="s">
        <v>483</v>
      </c>
      <c r="C73" s="83">
        <v>500</v>
      </c>
      <c r="D73" s="83">
        <v>7680</v>
      </c>
      <c r="E73" s="83">
        <v>2920</v>
      </c>
      <c r="F73" s="83">
        <v>350</v>
      </c>
      <c r="G73" s="83">
        <v>11450</v>
      </c>
      <c r="H73" s="91"/>
      <c r="I73" s="91"/>
      <c r="J73" s="91"/>
      <c r="K73" s="91"/>
    </row>
    <row r="74" spans="1:11" ht="12.75">
      <c r="A74" s="91"/>
      <c r="B74" s="96" t="s">
        <v>102</v>
      </c>
      <c r="C74" s="83">
        <v>310</v>
      </c>
      <c r="D74" s="83">
        <v>5660</v>
      </c>
      <c r="E74" s="83">
        <v>1400</v>
      </c>
      <c r="F74" s="83">
        <v>180</v>
      </c>
      <c r="G74" s="83">
        <v>7550</v>
      </c>
      <c r="H74" s="91"/>
      <c r="I74" s="91"/>
      <c r="J74" s="91"/>
      <c r="K74" s="91"/>
    </row>
    <row r="75" spans="1:11" ht="12.75">
      <c r="A75" s="91"/>
      <c r="B75" s="96" t="s">
        <v>101</v>
      </c>
      <c r="C75" s="83">
        <v>830</v>
      </c>
      <c r="D75" s="83">
        <v>5540</v>
      </c>
      <c r="E75" s="83">
        <v>1110</v>
      </c>
      <c r="F75" s="83">
        <v>50</v>
      </c>
      <c r="G75" s="83">
        <v>7530</v>
      </c>
      <c r="H75" s="91"/>
      <c r="I75" s="91"/>
      <c r="J75" s="91"/>
      <c r="K75" s="91"/>
    </row>
    <row r="76" spans="1:11" ht="12.75">
      <c r="A76" s="91"/>
      <c r="B76" s="96" t="s">
        <v>104</v>
      </c>
      <c r="C76" s="83">
        <v>60</v>
      </c>
      <c r="D76" s="83">
        <v>2140</v>
      </c>
      <c r="E76" s="83">
        <v>360</v>
      </c>
      <c r="F76" s="83">
        <v>10</v>
      </c>
      <c r="G76" s="83">
        <v>2570</v>
      </c>
      <c r="H76" s="91"/>
      <c r="I76" s="91"/>
      <c r="J76" s="91"/>
      <c r="K76" s="91"/>
    </row>
    <row r="77" spans="1:11" ht="12.75">
      <c r="A77" s="91"/>
      <c r="B77" s="96" t="s">
        <v>103</v>
      </c>
      <c r="C77" s="83">
        <v>70</v>
      </c>
      <c r="D77" s="83">
        <v>1160</v>
      </c>
      <c r="E77" s="83">
        <v>1110</v>
      </c>
      <c r="F77" s="83">
        <v>180</v>
      </c>
      <c r="G77" s="83">
        <v>2520</v>
      </c>
      <c r="H77" s="91"/>
      <c r="I77" s="91"/>
      <c r="J77" s="91"/>
      <c r="K77" s="91"/>
    </row>
    <row r="78" spans="1:11" ht="12.75">
      <c r="A78" s="91"/>
      <c r="B78" s="96" t="s">
        <v>57</v>
      </c>
      <c r="C78" s="83">
        <v>160</v>
      </c>
      <c r="D78" s="83">
        <v>680</v>
      </c>
      <c r="E78" s="83">
        <v>200</v>
      </c>
      <c r="F78" s="83">
        <v>40</v>
      </c>
      <c r="G78" s="83">
        <v>1080</v>
      </c>
      <c r="H78" s="91"/>
      <c r="I78" s="91"/>
      <c r="J78" s="91"/>
      <c r="K78" s="91"/>
    </row>
    <row r="79" spans="1:11" ht="12.75">
      <c r="A79" s="91"/>
      <c r="B79" s="97" t="s">
        <v>105</v>
      </c>
      <c r="C79" s="85">
        <v>50</v>
      </c>
      <c r="D79" s="85">
        <v>510</v>
      </c>
      <c r="E79" s="85">
        <v>230</v>
      </c>
      <c r="F79" s="85">
        <v>10</v>
      </c>
      <c r="G79" s="85">
        <v>800</v>
      </c>
      <c r="H79" s="91"/>
      <c r="I79" s="91"/>
      <c r="J79" s="91"/>
      <c r="K79" s="91"/>
    </row>
    <row r="80" spans="1:11" ht="12.75">
      <c r="A80" s="91"/>
      <c r="B80" s="96" t="s">
        <v>100</v>
      </c>
      <c r="C80" s="83">
        <v>1980</v>
      </c>
      <c r="D80" s="83">
        <v>23370</v>
      </c>
      <c r="E80" s="83">
        <v>7330</v>
      </c>
      <c r="F80" s="83">
        <v>820</v>
      </c>
      <c r="G80" s="83">
        <v>33500</v>
      </c>
      <c r="H80" s="91"/>
      <c r="I80" s="91"/>
      <c r="J80" s="91"/>
      <c r="K80" s="91"/>
    </row>
    <row r="81" spans="1:11" ht="12.75">
      <c r="A81" s="91"/>
      <c r="B81" s="96"/>
      <c r="C81" s="94"/>
      <c r="D81" s="94"/>
      <c r="E81" s="94"/>
      <c r="F81" s="94"/>
      <c r="G81" s="94"/>
      <c r="H81" s="91"/>
      <c r="I81" s="91"/>
      <c r="J81" s="91"/>
      <c r="K81" s="91"/>
    </row>
    <row r="82" spans="1:11" ht="12.75">
      <c r="A82" s="90"/>
      <c r="B82" s="5" t="s">
        <v>411</v>
      </c>
      <c r="C82" s="94"/>
      <c r="D82" s="94"/>
      <c r="E82" s="94"/>
      <c r="F82" s="94"/>
      <c r="G82" s="291" t="s">
        <v>49</v>
      </c>
      <c r="H82" s="91"/>
      <c r="I82" s="91"/>
      <c r="J82" s="91"/>
      <c r="K82" s="91"/>
    </row>
    <row r="83" spans="2:11" ht="25.5">
      <c r="B83" s="86" t="s">
        <v>53</v>
      </c>
      <c r="C83" s="31" t="s">
        <v>219</v>
      </c>
      <c r="D83" s="95" t="s">
        <v>408</v>
      </c>
      <c r="E83" s="31" t="s">
        <v>407</v>
      </c>
      <c r="F83" s="31" t="s">
        <v>357</v>
      </c>
      <c r="G83" s="31" t="s">
        <v>412</v>
      </c>
      <c r="H83" s="91"/>
      <c r="I83" s="91"/>
      <c r="J83" s="91"/>
      <c r="K83" s="91"/>
    </row>
    <row r="84" spans="1:11" ht="12.75">
      <c r="A84" s="91"/>
      <c r="B84" s="96" t="s">
        <v>483</v>
      </c>
      <c r="C84" s="98">
        <v>10</v>
      </c>
      <c r="D84" s="98">
        <v>670</v>
      </c>
      <c r="E84" s="98">
        <v>710</v>
      </c>
      <c r="F84" s="98">
        <v>120</v>
      </c>
      <c r="G84" s="99">
        <v>1510</v>
      </c>
      <c r="H84" s="91"/>
      <c r="I84" s="91"/>
      <c r="J84" s="91"/>
      <c r="K84" s="91"/>
    </row>
    <row r="85" spans="1:11" ht="12.75">
      <c r="A85" s="91"/>
      <c r="B85" s="96" t="s">
        <v>102</v>
      </c>
      <c r="C85" s="98">
        <v>10</v>
      </c>
      <c r="D85" s="98">
        <v>480</v>
      </c>
      <c r="E85" s="98">
        <v>330</v>
      </c>
      <c r="F85" s="98">
        <v>60</v>
      </c>
      <c r="G85" s="99">
        <v>880</v>
      </c>
      <c r="H85" s="91"/>
      <c r="I85" s="91"/>
      <c r="J85" s="91"/>
      <c r="K85" s="91"/>
    </row>
    <row r="86" spans="1:11" ht="12.75">
      <c r="A86" s="91"/>
      <c r="B86" s="96" t="s">
        <v>101</v>
      </c>
      <c r="C86" s="98">
        <v>30</v>
      </c>
      <c r="D86" s="98">
        <v>440</v>
      </c>
      <c r="E86" s="98">
        <v>270</v>
      </c>
      <c r="F86" s="98">
        <v>20</v>
      </c>
      <c r="G86" s="99">
        <v>760</v>
      </c>
      <c r="H86" s="91"/>
      <c r="I86" s="91"/>
      <c r="J86" s="91"/>
      <c r="K86" s="91"/>
    </row>
    <row r="87" spans="1:11" ht="12.75">
      <c r="A87" s="91"/>
      <c r="B87" s="96" t="s">
        <v>104</v>
      </c>
      <c r="C87" s="98">
        <v>2</v>
      </c>
      <c r="D87" s="98">
        <v>160</v>
      </c>
      <c r="E87" s="98">
        <v>90</v>
      </c>
      <c r="F87" s="98">
        <v>3</v>
      </c>
      <c r="G87" s="99">
        <v>250</v>
      </c>
      <c r="H87" s="91"/>
      <c r="I87" s="91"/>
      <c r="J87" s="91"/>
      <c r="K87" s="91"/>
    </row>
    <row r="88" spans="1:11" ht="12.75">
      <c r="A88" s="91"/>
      <c r="B88" s="96" t="s">
        <v>103</v>
      </c>
      <c r="C88" s="98">
        <v>10</v>
      </c>
      <c r="D88" s="98">
        <v>100</v>
      </c>
      <c r="E88" s="98">
        <v>280</v>
      </c>
      <c r="F88" s="98">
        <v>60</v>
      </c>
      <c r="G88" s="99">
        <v>450</v>
      </c>
      <c r="H88" s="91"/>
      <c r="I88" s="91"/>
      <c r="J88" s="91"/>
      <c r="K88" s="91"/>
    </row>
    <row r="89" spans="1:11" ht="12.75">
      <c r="A89" s="91"/>
      <c r="B89" s="96" t="s">
        <v>57</v>
      </c>
      <c r="C89" s="98">
        <v>10</v>
      </c>
      <c r="D89" s="98">
        <v>60</v>
      </c>
      <c r="E89" s="98">
        <v>30</v>
      </c>
      <c r="F89" s="98">
        <v>10</v>
      </c>
      <c r="G89" s="99">
        <v>110</v>
      </c>
      <c r="H89" s="91"/>
      <c r="I89" s="91"/>
      <c r="J89" s="91"/>
      <c r="K89" s="91"/>
    </row>
    <row r="90" spans="1:11" ht="12.75">
      <c r="A90" s="91"/>
      <c r="B90" s="97" t="s">
        <v>105</v>
      </c>
      <c r="C90" s="100">
        <v>2</v>
      </c>
      <c r="D90" s="100">
        <v>40</v>
      </c>
      <c r="E90" s="100">
        <v>60</v>
      </c>
      <c r="F90" s="100">
        <v>2</v>
      </c>
      <c r="G90" s="101">
        <v>100</v>
      </c>
      <c r="H90" s="91"/>
      <c r="I90" s="91"/>
      <c r="J90" s="91"/>
      <c r="K90" s="91"/>
    </row>
    <row r="91" spans="1:11" ht="12.75">
      <c r="A91" s="91"/>
      <c r="B91" s="8" t="s">
        <v>100</v>
      </c>
      <c r="C91" s="99">
        <v>70</v>
      </c>
      <c r="D91" s="99">
        <v>1950</v>
      </c>
      <c r="E91" s="99">
        <v>1770</v>
      </c>
      <c r="F91" s="99">
        <v>270</v>
      </c>
      <c r="G91" s="99">
        <v>4060</v>
      </c>
      <c r="H91" s="91"/>
      <c r="I91" s="91"/>
      <c r="J91" s="91"/>
      <c r="K91" s="91"/>
    </row>
    <row r="92" spans="1:11" ht="12.75">
      <c r="A92" s="91"/>
      <c r="B92" s="91"/>
      <c r="C92" s="92"/>
      <c r="D92" s="92"/>
      <c r="E92" s="92"/>
      <c r="F92" s="92"/>
      <c r="G92" s="93"/>
      <c r="H92" s="91"/>
      <c r="I92" s="91"/>
      <c r="J92" s="91"/>
      <c r="K92" s="91"/>
    </row>
    <row r="93" spans="1:11" ht="12.75">
      <c r="A93" s="91"/>
      <c r="B93" s="91"/>
      <c r="C93" s="102"/>
      <c r="D93" s="102"/>
      <c r="E93" s="102"/>
      <c r="F93" s="102"/>
      <c r="G93" s="103"/>
      <c r="H93" s="91"/>
      <c r="I93" s="91"/>
      <c r="J93" s="91"/>
      <c r="K93" s="91"/>
    </row>
    <row r="94" spans="1:11" ht="12.75">
      <c r="A94" s="90"/>
      <c r="B94" s="5" t="s">
        <v>413</v>
      </c>
      <c r="C94" s="94"/>
      <c r="D94" s="94"/>
      <c r="E94" s="94"/>
      <c r="F94" s="291" t="s">
        <v>49</v>
      </c>
      <c r="G94" s="93"/>
      <c r="H94" s="91"/>
      <c r="I94" s="91"/>
      <c r="J94" s="91"/>
      <c r="K94" s="91"/>
    </row>
    <row r="95" spans="1:11" ht="17.25" customHeight="1">
      <c r="A95" s="91"/>
      <c r="B95" s="104"/>
      <c r="C95" s="105" t="s">
        <v>84</v>
      </c>
      <c r="D95" s="106" t="s">
        <v>414</v>
      </c>
      <c r="E95" s="105" t="s">
        <v>415</v>
      </c>
      <c r="F95" s="105" t="s">
        <v>414</v>
      </c>
      <c r="G95" s="93"/>
      <c r="H95" s="91"/>
      <c r="I95" s="91"/>
      <c r="J95" s="91"/>
      <c r="K95" s="91"/>
    </row>
    <row r="96" spans="1:11" ht="24" customHeight="1">
      <c r="A96" s="91"/>
      <c r="B96" s="4"/>
      <c r="C96" s="81" t="s">
        <v>52</v>
      </c>
      <c r="D96" s="107" t="s">
        <v>416</v>
      </c>
      <c r="E96" s="31" t="s">
        <v>417</v>
      </c>
      <c r="F96" s="81" t="s">
        <v>379</v>
      </c>
      <c r="G96" s="93"/>
      <c r="H96" s="91"/>
      <c r="I96" s="91"/>
      <c r="J96" s="91"/>
      <c r="K96" s="91"/>
    </row>
    <row r="97" spans="1:11" ht="12.75">
      <c r="A97" s="91"/>
      <c r="B97" s="4" t="s">
        <v>407</v>
      </c>
      <c r="C97" s="83"/>
      <c r="D97" s="108"/>
      <c r="E97" s="83"/>
      <c r="F97" s="109"/>
      <c r="G97" s="93"/>
      <c r="H97" s="91"/>
      <c r="I97" s="91"/>
      <c r="J97" s="91"/>
      <c r="K97" s="91"/>
    </row>
    <row r="98" spans="1:11" ht="12.75">
      <c r="A98" s="91"/>
      <c r="B98" s="8" t="s">
        <v>357</v>
      </c>
      <c r="C98" s="83">
        <v>270</v>
      </c>
      <c r="D98" s="109">
        <v>0.0665024630541872</v>
      </c>
      <c r="E98" s="83">
        <v>820</v>
      </c>
      <c r="F98" s="109">
        <v>0.02447761194029851</v>
      </c>
      <c r="G98" s="93"/>
      <c r="H98" s="91"/>
      <c r="I98" s="91"/>
      <c r="J98" s="91"/>
      <c r="K98" s="91"/>
    </row>
    <row r="99" spans="1:11" ht="12.75">
      <c r="A99" s="91"/>
      <c r="B99" s="8" t="s">
        <v>418</v>
      </c>
      <c r="C99" s="83">
        <v>1090</v>
      </c>
      <c r="D99" s="108">
        <v>0.2684729064039409</v>
      </c>
      <c r="E99" s="83">
        <v>4030</v>
      </c>
      <c r="F99" s="109">
        <v>0.12029850746268657</v>
      </c>
      <c r="G99" s="93"/>
      <c r="H99" s="91"/>
      <c r="I99" s="91"/>
      <c r="J99" s="91"/>
      <c r="K99" s="91"/>
    </row>
    <row r="100" spans="1:11" ht="12.75">
      <c r="A100" s="91"/>
      <c r="B100" s="75" t="s">
        <v>419</v>
      </c>
      <c r="C100" s="85">
        <v>680</v>
      </c>
      <c r="D100" s="110">
        <v>0.16</v>
      </c>
      <c r="E100" s="85">
        <v>3300</v>
      </c>
      <c r="F100" s="111">
        <v>0.09850746268656717</v>
      </c>
      <c r="G100" s="93"/>
      <c r="H100" s="91"/>
      <c r="I100" s="91"/>
      <c r="J100" s="91"/>
      <c r="K100" s="91"/>
    </row>
    <row r="101" spans="1:11" ht="12.75">
      <c r="A101" s="91"/>
      <c r="B101" s="8" t="s">
        <v>420</v>
      </c>
      <c r="C101" s="83">
        <v>2040</v>
      </c>
      <c r="D101" s="108">
        <v>0.5024630541871922</v>
      </c>
      <c r="E101" s="83">
        <v>8150</v>
      </c>
      <c r="F101" s="109">
        <v>0.24328358208955222</v>
      </c>
      <c r="G101" s="93"/>
      <c r="H101" s="91"/>
      <c r="I101" s="91"/>
      <c r="J101" s="91"/>
      <c r="K101" s="91"/>
    </row>
    <row r="102" spans="1:11" ht="12.75">
      <c r="A102" s="91"/>
      <c r="B102" s="8"/>
      <c r="C102" s="94"/>
      <c r="D102" s="112"/>
      <c r="E102" s="94"/>
      <c r="F102" s="94"/>
      <c r="G102" s="93"/>
      <c r="H102" s="91"/>
      <c r="I102" s="91"/>
      <c r="J102" s="91"/>
      <c r="K102" s="91"/>
    </row>
    <row r="103" spans="1:11" ht="12.75">
      <c r="A103" s="91"/>
      <c r="B103" s="4" t="s">
        <v>115</v>
      </c>
      <c r="C103" s="83"/>
      <c r="D103" s="108"/>
      <c r="E103" s="83"/>
      <c r="F103" s="109"/>
      <c r="G103" s="93"/>
      <c r="H103" s="91"/>
      <c r="I103" s="91"/>
      <c r="J103" s="91"/>
      <c r="K103" s="91"/>
    </row>
    <row r="104" spans="1:11" ht="12.75">
      <c r="A104" s="91"/>
      <c r="B104" s="8" t="s">
        <v>421</v>
      </c>
      <c r="C104" s="83">
        <v>460</v>
      </c>
      <c r="D104" s="109">
        <v>0.11330049261083744</v>
      </c>
      <c r="E104" s="83">
        <v>4390</v>
      </c>
      <c r="F104" s="109">
        <v>0.131044776119403</v>
      </c>
      <c r="G104" s="93"/>
      <c r="H104" s="91"/>
      <c r="I104" s="91"/>
      <c r="J104" s="91"/>
      <c r="K104" s="91"/>
    </row>
    <row r="105" spans="1:11" ht="12.75">
      <c r="A105" s="91"/>
      <c r="B105" s="75" t="s">
        <v>422</v>
      </c>
      <c r="C105" s="85">
        <v>1490</v>
      </c>
      <c r="D105" s="110">
        <v>0.3669950738916256</v>
      </c>
      <c r="E105" s="85">
        <v>18980</v>
      </c>
      <c r="F105" s="111">
        <v>0.5665671641791045</v>
      </c>
      <c r="G105" s="93"/>
      <c r="H105" s="91"/>
      <c r="I105" s="91"/>
      <c r="J105" s="91"/>
      <c r="K105" s="91"/>
    </row>
    <row r="106" spans="1:11" ht="12.75">
      <c r="A106" s="91"/>
      <c r="B106" s="8" t="s">
        <v>423</v>
      </c>
      <c r="C106" s="83">
        <v>1950</v>
      </c>
      <c r="D106" s="108">
        <v>0.4802955665024631</v>
      </c>
      <c r="E106" s="83">
        <v>23370</v>
      </c>
      <c r="F106" s="109">
        <v>0.6976119402985075</v>
      </c>
      <c r="G106" s="93"/>
      <c r="H106" s="91"/>
      <c r="I106" s="91"/>
      <c r="J106" s="91"/>
      <c r="K106" s="91"/>
    </row>
    <row r="107" spans="1:11" ht="12.75">
      <c r="A107" s="91"/>
      <c r="B107" s="8"/>
      <c r="C107" s="94"/>
      <c r="D107" s="112"/>
      <c r="E107" s="94"/>
      <c r="F107" s="94"/>
      <c r="G107" s="93"/>
      <c r="H107" s="91"/>
      <c r="I107" s="91"/>
      <c r="J107" s="91"/>
      <c r="K107" s="91"/>
    </row>
    <row r="108" spans="1:11" ht="12.75">
      <c r="A108" s="91"/>
      <c r="B108" s="4" t="s">
        <v>424</v>
      </c>
      <c r="C108" s="83">
        <v>70</v>
      </c>
      <c r="D108" s="109">
        <v>0.017241379310344827</v>
      </c>
      <c r="E108" s="83">
        <v>1980</v>
      </c>
      <c r="F108" s="109">
        <v>0.0591044776119403</v>
      </c>
      <c r="G108" s="93"/>
      <c r="H108" s="91"/>
      <c r="I108" s="91"/>
      <c r="J108" s="91"/>
      <c r="K108" s="91"/>
    </row>
    <row r="109" spans="1:11" ht="12.75">
      <c r="A109" s="91"/>
      <c r="B109" s="8"/>
      <c r="C109" s="83"/>
      <c r="D109" s="109"/>
      <c r="E109" s="83"/>
      <c r="F109" s="109"/>
      <c r="G109" s="93"/>
      <c r="H109" s="91"/>
      <c r="I109" s="91"/>
      <c r="J109" s="91"/>
      <c r="K109" s="91"/>
    </row>
    <row r="110" spans="1:11" ht="12.75">
      <c r="A110" s="91"/>
      <c r="B110" s="4" t="s">
        <v>425</v>
      </c>
      <c r="C110" s="87">
        <v>4060</v>
      </c>
      <c r="D110" s="113">
        <v>1</v>
      </c>
      <c r="E110" s="87">
        <v>33500</v>
      </c>
      <c r="F110" s="113">
        <v>1</v>
      </c>
      <c r="G110" s="93"/>
      <c r="H110" s="91"/>
      <c r="I110" s="91"/>
      <c r="J110" s="91"/>
      <c r="K110" s="91"/>
    </row>
    <row r="111" spans="1:11" ht="12.75">
      <c r="A111" s="91"/>
      <c r="B111" s="91"/>
      <c r="C111" s="92"/>
      <c r="D111" s="92"/>
      <c r="E111" s="92"/>
      <c r="F111" s="386"/>
      <c r="G111" s="93"/>
      <c r="H111" s="91"/>
      <c r="I111" s="91"/>
      <c r="J111" s="91"/>
      <c r="K111" s="91"/>
    </row>
    <row r="112" spans="1:11" ht="12.75">
      <c r="A112" s="5"/>
      <c r="B112" s="300" t="s">
        <v>426</v>
      </c>
      <c r="C112" s="301"/>
      <c r="D112" s="301"/>
      <c r="E112" s="301"/>
      <c r="F112" s="301"/>
      <c r="G112" s="307"/>
      <c r="H112" s="91"/>
      <c r="I112" s="91"/>
      <c r="J112" s="91"/>
      <c r="K112" s="91"/>
    </row>
    <row r="113" spans="1:11" ht="12.75">
      <c r="A113" s="91"/>
      <c r="B113" s="325"/>
      <c r="C113" s="301"/>
      <c r="D113" s="301"/>
      <c r="E113" s="301"/>
      <c r="F113" s="301"/>
      <c r="G113" s="307"/>
      <c r="H113" s="91"/>
      <c r="I113" s="91"/>
      <c r="J113" s="91"/>
      <c r="K113" s="91"/>
    </row>
    <row r="114" spans="1:11" ht="12.75">
      <c r="A114" s="91"/>
      <c r="B114" s="300" t="s">
        <v>427</v>
      </c>
      <c r="C114" s="301"/>
      <c r="D114" s="301"/>
      <c r="E114" s="301"/>
      <c r="F114" s="301"/>
      <c r="G114" s="307"/>
      <c r="H114" s="91"/>
      <c r="I114" s="91"/>
      <c r="J114" s="91"/>
      <c r="K114" s="91"/>
    </row>
    <row r="115" spans="1:11" ht="25.5">
      <c r="A115" s="91"/>
      <c r="B115" s="334"/>
      <c r="C115" s="306" t="s">
        <v>14</v>
      </c>
      <c r="D115" s="306" t="s">
        <v>428</v>
      </c>
      <c r="E115" s="329" t="s">
        <v>135</v>
      </c>
      <c r="F115" s="306" t="s">
        <v>15</v>
      </c>
      <c r="G115" s="306" t="s">
        <v>16</v>
      </c>
      <c r="H115" s="91"/>
      <c r="I115" s="91"/>
      <c r="J115" s="91"/>
      <c r="K115" s="91"/>
    </row>
    <row r="116" spans="1:11" ht="12.75">
      <c r="A116" s="91"/>
      <c r="B116" s="332" t="s">
        <v>114</v>
      </c>
      <c r="C116" s="302"/>
      <c r="D116" s="302"/>
      <c r="E116" s="302"/>
      <c r="F116" s="302"/>
      <c r="G116" s="302"/>
      <c r="H116" s="91"/>
      <c r="I116" s="91"/>
      <c r="J116" s="91"/>
      <c r="K116" s="91"/>
    </row>
    <row r="117" spans="1:11" ht="12.75">
      <c r="A117" s="91"/>
      <c r="B117" s="325" t="s">
        <v>429</v>
      </c>
      <c r="C117" s="302">
        <v>460</v>
      </c>
      <c r="D117" s="302">
        <v>440</v>
      </c>
      <c r="E117" s="302">
        <v>0</v>
      </c>
      <c r="F117" s="302">
        <v>570</v>
      </c>
      <c r="G117" s="302">
        <v>590</v>
      </c>
      <c r="H117" s="91"/>
      <c r="I117" s="91"/>
      <c r="J117" s="91"/>
      <c r="K117" s="91"/>
    </row>
    <row r="118" spans="1:11" ht="12.75">
      <c r="A118" s="91"/>
      <c r="B118" s="325" t="s">
        <v>418</v>
      </c>
      <c r="C118" s="302">
        <v>1540</v>
      </c>
      <c r="D118" s="302">
        <v>1370</v>
      </c>
      <c r="E118" s="302">
        <v>0</v>
      </c>
      <c r="F118" s="302">
        <v>3590</v>
      </c>
      <c r="G118" s="302">
        <v>3760</v>
      </c>
      <c r="H118" s="91"/>
      <c r="I118" s="91"/>
      <c r="J118" s="91"/>
      <c r="K118" s="91"/>
    </row>
    <row r="119" spans="1:11" ht="12.75">
      <c r="A119" s="91"/>
      <c r="B119" s="333" t="s">
        <v>419</v>
      </c>
      <c r="C119" s="309">
        <v>1280</v>
      </c>
      <c r="D119" s="309">
        <v>1090</v>
      </c>
      <c r="E119" s="309">
        <v>0</v>
      </c>
      <c r="F119" s="309">
        <v>3020</v>
      </c>
      <c r="G119" s="309">
        <v>3210</v>
      </c>
      <c r="H119" s="91"/>
      <c r="I119" s="91"/>
      <c r="J119" s="91"/>
      <c r="K119" s="91"/>
    </row>
    <row r="120" spans="1:11" ht="12.75">
      <c r="A120" s="91"/>
      <c r="B120" s="325" t="s">
        <v>430</v>
      </c>
      <c r="C120" s="302">
        <v>3280</v>
      </c>
      <c r="D120" s="302">
        <v>2900</v>
      </c>
      <c r="E120" s="302">
        <v>750</v>
      </c>
      <c r="F120" s="302">
        <v>7180</v>
      </c>
      <c r="G120" s="302">
        <v>7560</v>
      </c>
      <c r="H120" s="91"/>
      <c r="I120" s="362"/>
      <c r="J120" s="91"/>
      <c r="K120" s="91"/>
    </row>
    <row r="121" spans="1:11" ht="12.75">
      <c r="A121" s="91"/>
      <c r="B121" s="325"/>
      <c r="C121" s="301"/>
      <c r="D121" s="301"/>
      <c r="E121" s="302"/>
      <c r="F121" s="301"/>
      <c r="G121" s="301"/>
      <c r="H121" s="91"/>
      <c r="I121" s="91"/>
      <c r="J121" s="91"/>
      <c r="K121" s="91"/>
    </row>
    <row r="122" spans="1:11" ht="12.75">
      <c r="A122" s="91"/>
      <c r="B122" s="332" t="s">
        <v>115</v>
      </c>
      <c r="C122" s="301"/>
      <c r="D122" s="301"/>
      <c r="E122" s="301"/>
      <c r="F122" s="301"/>
      <c r="G122" s="301"/>
      <c r="H122" s="91"/>
      <c r="I122" s="91"/>
      <c r="J122" s="91"/>
      <c r="K122" s="91"/>
    </row>
    <row r="123" spans="1:11" ht="12.75">
      <c r="A123" s="91"/>
      <c r="B123" s="325" t="s">
        <v>431</v>
      </c>
      <c r="C123" s="302">
        <v>1480</v>
      </c>
      <c r="D123" s="302">
        <v>1100</v>
      </c>
      <c r="E123" s="302">
        <v>0</v>
      </c>
      <c r="F123" s="302">
        <v>4390</v>
      </c>
      <c r="G123" s="302">
        <v>4770</v>
      </c>
      <c r="H123" s="91"/>
      <c r="I123" s="91"/>
      <c r="J123" s="91"/>
      <c r="K123" s="91"/>
    </row>
    <row r="124" spans="1:11" ht="12.75">
      <c r="A124" s="91"/>
      <c r="B124" s="333" t="s">
        <v>432</v>
      </c>
      <c r="C124" s="309">
        <v>10050</v>
      </c>
      <c r="D124" s="309">
        <v>7390</v>
      </c>
      <c r="E124" s="309">
        <v>0</v>
      </c>
      <c r="F124" s="309">
        <v>18980</v>
      </c>
      <c r="G124" s="309">
        <v>21640</v>
      </c>
      <c r="H124" s="91"/>
      <c r="I124" s="91"/>
      <c r="J124" s="91"/>
      <c r="K124" s="91"/>
    </row>
    <row r="125" spans="1:11" ht="12.75">
      <c r="A125" s="91"/>
      <c r="B125" s="325" t="s">
        <v>433</v>
      </c>
      <c r="C125" s="302">
        <v>11530</v>
      </c>
      <c r="D125" s="302">
        <v>8490</v>
      </c>
      <c r="E125" s="302">
        <v>1240</v>
      </c>
      <c r="F125" s="302">
        <v>23370</v>
      </c>
      <c r="G125" s="302">
        <v>26410</v>
      </c>
      <c r="H125" s="91"/>
      <c r="I125" s="91"/>
      <c r="J125" s="91"/>
      <c r="K125" s="91"/>
    </row>
    <row r="126" spans="1:11" ht="12.75">
      <c r="A126" s="91"/>
      <c r="B126" s="325"/>
      <c r="C126" s="301"/>
      <c r="D126" s="301"/>
      <c r="E126" s="301"/>
      <c r="F126" s="301"/>
      <c r="G126" s="301"/>
      <c r="H126" s="91"/>
      <c r="I126" s="91"/>
      <c r="J126" s="91"/>
      <c r="K126" s="91"/>
    </row>
    <row r="127" spans="1:11" ht="12.75">
      <c r="A127" s="91"/>
      <c r="B127" s="332" t="s">
        <v>434</v>
      </c>
      <c r="C127" s="302">
        <v>2840</v>
      </c>
      <c r="D127" s="302">
        <v>2760</v>
      </c>
      <c r="E127" s="302">
        <v>0</v>
      </c>
      <c r="F127" s="302">
        <v>1980</v>
      </c>
      <c r="G127" s="302">
        <v>2060</v>
      </c>
      <c r="H127" s="91"/>
      <c r="I127" s="91"/>
      <c r="J127" s="91"/>
      <c r="K127" s="91"/>
    </row>
    <row r="128" spans="1:11" ht="12.75">
      <c r="A128" s="91"/>
      <c r="B128" s="325"/>
      <c r="C128" s="301"/>
      <c r="D128" s="301"/>
      <c r="E128" s="301"/>
      <c r="F128" s="301"/>
      <c r="G128" s="301"/>
      <c r="H128" s="91"/>
      <c r="I128" s="91"/>
      <c r="J128" s="91"/>
      <c r="K128" s="91"/>
    </row>
    <row r="129" spans="1:11" ht="12.75">
      <c r="A129" s="91"/>
      <c r="B129" s="332" t="s">
        <v>435</v>
      </c>
      <c r="C129" s="305">
        <v>17650</v>
      </c>
      <c r="D129" s="305">
        <v>14150</v>
      </c>
      <c r="E129" s="305">
        <v>1990</v>
      </c>
      <c r="F129" s="305">
        <v>32530</v>
      </c>
      <c r="G129" s="305">
        <v>36030</v>
      </c>
      <c r="H129" s="91"/>
      <c r="I129" s="362"/>
      <c r="J129" s="91"/>
      <c r="K129" s="91"/>
    </row>
    <row r="130" spans="1:11" ht="12.75">
      <c r="A130" s="91"/>
      <c r="B130" s="325"/>
      <c r="C130" s="302"/>
      <c r="D130" s="302"/>
      <c r="E130" s="302"/>
      <c r="F130" s="302"/>
      <c r="G130" s="302"/>
      <c r="H130" s="91"/>
      <c r="I130" s="91"/>
      <c r="J130" s="91"/>
      <c r="K130" s="91"/>
    </row>
    <row r="131" spans="1:11" ht="12.75">
      <c r="A131" s="91"/>
      <c r="B131" s="300" t="s">
        <v>436</v>
      </c>
      <c r="C131" s="302"/>
      <c r="D131" s="302"/>
      <c r="E131" s="302"/>
      <c r="F131" s="302"/>
      <c r="G131" s="302"/>
      <c r="H131" s="91"/>
      <c r="I131" s="91"/>
      <c r="J131" s="91"/>
      <c r="K131" s="91"/>
    </row>
    <row r="132" spans="1:11" ht="12.75">
      <c r="A132" s="91"/>
      <c r="B132" s="335" t="s">
        <v>504</v>
      </c>
      <c r="C132" s="302">
        <v>520</v>
      </c>
      <c r="D132" s="302">
        <v>280</v>
      </c>
      <c r="E132" s="302">
        <v>310</v>
      </c>
      <c r="F132" s="302">
        <v>690</v>
      </c>
      <c r="G132" s="302">
        <v>1240</v>
      </c>
      <c r="H132" s="91"/>
      <c r="I132" s="91"/>
      <c r="J132" s="91"/>
      <c r="K132" s="91"/>
    </row>
    <row r="133" spans="1:11" ht="12.75">
      <c r="A133" s="91"/>
      <c r="B133" s="325" t="s">
        <v>143</v>
      </c>
      <c r="C133" s="302">
        <v>610</v>
      </c>
      <c r="D133" s="302">
        <v>420</v>
      </c>
      <c r="E133" s="302">
        <v>440</v>
      </c>
      <c r="F133" s="302">
        <v>280</v>
      </c>
      <c r="G133" s="302">
        <v>910</v>
      </c>
      <c r="H133" s="91"/>
      <c r="I133" s="91"/>
      <c r="J133" s="91"/>
      <c r="K133" s="91"/>
    </row>
    <row r="134" spans="1:11" ht="12.75">
      <c r="A134" s="91"/>
      <c r="B134" s="333" t="s">
        <v>437</v>
      </c>
      <c r="C134" s="309">
        <v>630</v>
      </c>
      <c r="D134" s="309">
        <v>520</v>
      </c>
      <c r="E134" s="309">
        <v>1240</v>
      </c>
      <c r="F134" s="309">
        <v>0</v>
      </c>
      <c r="G134" s="309">
        <v>1350</v>
      </c>
      <c r="H134" s="91"/>
      <c r="I134" s="91"/>
      <c r="J134" s="91"/>
      <c r="K134" s="91"/>
    </row>
    <row r="135" spans="1:11" ht="12.75">
      <c r="A135" s="91"/>
      <c r="B135" s="332" t="s">
        <v>438</v>
      </c>
      <c r="C135" s="305">
        <v>1760</v>
      </c>
      <c r="D135" s="305">
        <v>1220</v>
      </c>
      <c r="E135" s="305">
        <v>1990</v>
      </c>
      <c r="F135" s="305">
        <v>970</v>
      </c>
      <c r="G135" s="305">
        <v>3500</v>
      </c>
      <c r="H135" s="91"/>
      <c r="I135" s="91"/>
      <c r="J135" s="362"/>
      <c r="K135" s="91"/>
    </row>
    <row r="136" spans="1:11" ht="12.75">
      <c r="A136" s="91"/>
      <c r="B136" s="325"/>
      <c r="C136" s="301"/>
      <c r="D136" s="301"/>
      <c r="E136" s="301"/>
      <c r="F136" s="301"/>
      <c r="G136" s="301"/>
      <c r="H136" s="91"/>
      <c r="I136" s="91"/>
      <c r="J136" s="91"/>
      <c r="K136" s="91"/>
    </row>
    <row r="137" spans="1:11" ht="12.75">
      <c r="A137" s="91"/>
      <c r="B137" s="332" t="s">
        <v>425</v>
      </c>
      <c r="C137" s="305">
        <v>19410</v>
      </c>
      <c r="D137" s="305">
        <v>15370</v>
      </c>
      <c r="E137" s="305">
        <v>1990</v>
      </c>
      <c r="F137" s="305">
        <v>33500</v>
      </c>
      <c r="G137" s="305">
        <v>39530</v>
      </c>
      <c r="H137" s="91"/>
      <c r="I137" s="362"/>
      <c r="J137" s="91"/>
      <c r="K137" s="91"/>
    </row>
    <row r="138" spans="1:11" ht="12.75">
      <c r="A138" s="91"/>
      <c r="B138" s="312"/>
      <c r="C138" s="313"/>
      <c r="D138" s="363"/>
      <c r="E138" s="313"/>
      <c r="F138" s="313"/>
      <c r="G138" s="314"/>
      <c r="H138" s="91"/>
      <c r="I138" s="91"/>
      <c r="J138" s="91"/>
      <c r="K138" s="91"/>
    </row>
    <row r="139" spans="1:11" ht="12.75">
      <c r="A139" s="91"/>
      <c r="B139" s="325" t="s">
        <v>502</v>
      </c>
      <c r="C139" s="323"/>
      <c r="D139" s="323"/>
      <c r="E139" s="323"/>
      <c r="F139" s="323"/>
      <c r="G139" s="324"/>
      <c r="H139" s="91"/>
      <c r="I139" s="91"/>
      <c r="J139" s="91"/>
      <c r="K139" s="91"/>
    </row>
    <row r="140" spans="1:11" ht="12.75">
      <c r="A140" s="91"/>
      <c r="B140" s="325" t="s">
        <v>503</v>
      </c>
      <c r="C140" s="301"/>
      <c r="D140" s="301"/>
      <c r="E140" s="301"/>
      <c r="F140" s="301"/>
      <c r="G140" s="314"/>
      <c r="H140" s="91"/>
      <c r="I140" s="91"/>
      <c r="J140" s="91"/>
      <c r="K140" s="91"/>
    </row>
    <row r="141" spans="1:11" ht="12.75">
      <c r="A141" s="91"/>
      <c r="B141" s="325"/>
      <c r="C141" s="301"/>
      <c r="D141" s="301"/>
      <c r="E141" s="301"/>
      <c r="F141" s="301"/>
      <c r="G141" s="314"/>
      <c r="H141" s="91"/>
      <c r="I141" s="91"/>
      <c r="J141" s="91"/>
      <c r="K141" s="91"/>
    </row>
    <row r="142" spans="1:11" ht="12.75">
      <c r="A142" s="90"/>
      <c r="B142" s="300" t="s">
        <v>439</v>
      </c>
      <c r="C142" s="325"/>
      <c r="D142" s="325"/>
      <c r="E142" s="325"/>
      <c r="F142" s="325"/>
      <c r="G142" s="314"/>
      <c r="H142" s="91"/>
      <c r="I142" s="91"/>
      <c r="J142" s="91"/>
      <c r="K142" s="91"/>
    </row>
    <row r="143" spans="1:11" ht="12.75">
      <c r="A143" s="91"/>
      <c r="B143" s="331" t="s">
        <v>440</v>
      </c>
      <c r="C143" s="304">
        <v>2010</v>
      </c>
      <c r="D143" s="304">
        <v>2010</v>
      </c>
      <c r="E143" s="304">
        <v>2030</v>
      </c>
      <c r="F143" s="304">
        <v>2030</v>
      </c>
      <c r="G143" s="314"/>
      <c r="H143" s="91"/>
      <c r="I143" s="91"/>
      <c r="J143" s="91"/>
      <c r="K143" s="91"/>
    </row>
    <row r="144" spans="1:11" ht="25.5">
      <c r="A144" s="91"/>
      <c r="B144" s="332" t="s">
        <v>441</v>
      </c>
      <c r="C144" s="326" t="s">
        <v>442</v>
      </c>
      <c r="D144" s="330" t="s">
        <v>443</v>
      </c>
      <c r="E144" s="326" t="s">
        <v>442</v>
      </c>
      <c r="F144" s="326" t="s">
        <v>443</v>
      </c>
      <c r="G144" s="326" t="s">
        <v>83</v>
      </c>
      <c r="I144" s="91"/>
      <c r="J144" s="91"/>
      <c r="K144" s="91"/>
    </row>
    <row r="145" spans="1:11" ht="15" customHeight="1">
      <c r="A145" s="91"/>
      <c r="B145" s="332" t="s">
        <v>407</v>
      </c>
      <c r="C145" s="301"/>
      <c r="D145" s="316"/>
      <c r="E145" s="301"/>
      <c r="F145" s="301"/>
      <c r="G145" s="312"/>
      <c r="I145" s="91"/>
      <c r="J145" s="91"/>
      <c r="K145" s="91"/>
    </row>
    <row r="146" spans="1:11" ht="12.75">
      <c r="A146" s="91"/>
      <c r="B146" s="325" t="s">
        <v>429</v>
      </c>
      <c r="C146" s="302">
        <v>770</v>
      </c>
      <c r="D146" s="317">
        <v>0.03967027305512622</v>
      </c>
      <c r="E146" s="302">
        <v>1140</v>
      </c>
      <c r="F146" s="317">
        <v>0.028838856564634453</v>
      </c>
      <c r="G146" s="319">
        <v>0.019813381585341405</v>
      </c>
      <c r="I146" s="91"/>
      <c r="J146" s="91"/>
      <c r="K146" s="91"/>
    </row>
    <row r="147" spans="1:11" ht="12.75">
      <c r="A147" s="91"/>
      <c r="B147" s="325" t="s">
        <v>418</v>
      </c>
      <c r="C147" s="302">
        <v>1750</v>
      </c>
      <c r="D147" s="346">
        <v>0.09015971148892324</v>
      </c>
      <c r="E147" s="302">
        <v>4450</v>
      </c>
      <c r="F147" s="347">
        <v>0.1125727295724766</v>
      </c>
      <c r="G147" s="319">
        <v>0.047770334498792755</v>
      </c>
      <c r="I147" s="91"/>
      <c r="J147" s="91"/>
      <c r="K147" s="91"/>
    </row>
    <row r="148" spans="1:11" ht="12.75">
      <c r="A148" s="91"/>
      <c r="B148" s="333" t="s">
        <v>419</v>
      </c>
      <c r="C148" s="309">
        <v>1890</v>
      </c>
      <c r="D148" s="348">
        <v>0.0973724884080371</v>
      </c>
      <c r="E148" s="309">
        <v>4120</v>
      </c>
      <c r="F148" s="349">
        <v>0.11</v>
      </c>
      <c r="G148" s="320">
        <v>0.03973286201852866</v>
      </c>
      <c r="I148" s="91"/>
      <c r="J148" s="91"/>
      <c r="K148" s="91"/>
    </row>
    <row r="149" spans="1:11" ht="12.75">
      <c r="A149" s="91"/>
      <c r="B149" s="325" t="s">
        <v>420</v>
      </c>
      <c r="C149" s="302">
        <v>4410</v>
      </c>
      <c r="D149" s="346">
        <v>0.22720247295208656</v>
      </c>
      <c r="E149" s="302">
        <v>9710</v>
      </c>
      <c r="F149" s="347">
        <v>0.245636225651404</v>
      </c>
      <c r="G149" s="319">
        <v>0.04025313194916791</v>
      </c>
      <c r="I149" s="91"/>
      <c r="J149" s="91"/>
      <c r="K149" s="91"/>
    </row>
    <row r="150" spans="1:11" ht="12.75">
      <c r="A150" s="91"/>
      <c r="B150" s="325"/>
      <c r="C150" s="301"/>
      <c r="D150" s="345"/>
      <c r="E150" s="301"/>
      <c r="F150" s="344"/>
      <c r="G150" s="321"/>
      <c r="I150" s="91"/>
      <c r="J150" s="91"/>
      <c r="K150" s="91"/>
    </row>
    <row r="151" spans="1:11" ht="12.75">
      <c r="A151" s="91"/>
      <c r="B151" s="332" t="s">
        <v>408</v>
      </c>
      <c r="C151" s="301"/>
      <c r="D151" s="345"/>
      <c r="E151" s="301"/>
      <c r="F151" s="344"/>
      <c r="G151" s="321"/>
      <c r="I151" s="91"/>
      <c r="J151" s="91"/>
      <c r="K151" s="91"/>
    </row>
    <row r="152" spans="1:11" ht="12.75">
      <c r="A152" s="91"/>
      <c r="B152" s="325" t="s">
        <v>421</v>
      </c>
      <c r="C152" s="302">
        <v>1690</v>
      </c>
      <c r="D152" s="317">
        <v>0.08706852138073158</v>
      </c>
      <c r="E152" s="302">
        <v>5320</v>
      </c>
      <c r="F152" s="317">
        <v>0.13458133063496078</v>
      </c>
      <c r="G152" s="319">
        <v>0.05901289033410806</v>
      </c>
      <c r="I152" s="91"/>
      <c r="J152" s="91"/>
      <c r="K152" s="91"/>
    </row>
    <row r="153" spans="1:11" ht="12.75">
      <c r="A153" s="91"/>
      <c r="B153" s="333" t="s">
        <v>422</v>
      </c>
      <c r="C153" s="309">
        <v>10410</v>
      </c>
      <c r="D153" s="348">
        <v>0.53</v>
      </c>
      <c r="E153" s="309">
        <v>22430</v>
      </c>
      <c r="F153" s="349">
        <v>0.5674171515304832</v>
      </c>
      <c r="G153" s="320">
        <v>0.039127712562610384</v>
      </c>
      <c r="I153" s="91"/>
      <c r="J153" s="91"/>
      <c r="K153" s="91"/>
    </row>
    <row r="154" spans="1:11" ht="12.75">
      <c r="A154" s="91"/>
      <c r="B154" s="325" t="s">
        <v>423</v>
      </c>
      <c r="C154" s="302">
        <v>12100</v>
      </c>
      <c r="D154" s="346">
        <v>0.6233900051519835</v>
      </c>
      <c r="E154" s="302">
        <v>27750</v>
      </c>
      <c r="F154" s="347">
        <v>0.7019984821654439</v>
      </c>
      <c r="G154" s="319">
        <v>0.04237474561307697</v>
      </c>
      <c r="I154" s="91"/>
      <c r="J154" s="91"/>
      <c r="K154" s="91"/>
    </row>
    <row r="155" spans="1:11" ht="12.75">
      <c r="A155" s="91"/>
      <c r="B155" s="325"/>
      <c r="C155" s="301"/>
      <c r="D155" s="345"/>
      <c r="E155" s="301"/>
      <c r="F155" s="344"/>
      <c r="G155" s="319"/>
      <c r="I155" s="91"/>
      <c r="J155" s="91"/>
      <c r="K155" s="91"/>
    </row>
    <row r="156" spans="1:11" ht="12.75">
      <c r="A156" s="91"/>
      <c r="B156" s="332" t="s">
        <v>424</v>
      </c>
      <c r="C156" s="302">
        <v>2900</v>
      </c>
      <c r="D156" s="347">
        <v>0.14940752189592993</v>
      </c>
      <c r="E156" s="302">
        <v>2070</v>
      </c>
      <c r="F156" s="347">
        <v>0.052365292183152036</v>
      </c>
      <c r="G156" s="319">
        <v>-0.016716803755009946</v>
      </c>
      <c r="I156" s="91"/>
      <c r="J156" s="91"/>
      <c r="K156" s="91"/>
    </row>
    <row r="157" spans="1:11" ht="12.75">
      <c r="A157" s="91"/>
      <c r="B157" s="325"/>
      <c r="C157" s="302"/>
      <c r="D157" s="315"/>
      <c r="E157" s="302"/>
      <c r="F157" s="317"/>
      <c r="G157" s="319"/>
      <c r="I157" s="91"/>
      <c r="J157" s="91"/>
      <c r="K157" s="91"/>
    </row>
    <row r="158" spans="1:11" ht="12.75">
      <c r="A158" s="91"/>
      <c r="B158" s="332" t="s">
        <v>425</v>
      </c>
      <c r="C158" s="305">
        <v>19410</v>
      </c>
      <c r="D158" s="318">
        <v>1</v>
      </c>
      <c r="E158" s="305">
        <v>39530</v>
      </c>
      <c r="F158" s="318">
        <v>1</v>
      </c>
      <c r="G158" s="322">
        <v>0.03620352164342089</v>
      </c>
      <c r="I158" s="91"/>
      <c r="J158" s="91"/>
      <c r="K158" s="91"/>
    </row>
    <row r="159" spans="1:11" ht="12.75">
      <c r="A159" s="91"/>
      <c r="B159" s="312"/>
      <c r="C159" s="312"/>
      <c r="D159" s="312"/>
      <c r="E159" s="312"/>
      <c r="F159" s="312"/>
      <c r="G159" s="314"/>
      <c r="H159" s="91"/>
      <c r="I159" s="91"/>
      <c r="J159" s="91"/>
      <c r="K159" s="91"/>
    </row>
    <row r="160" spans="1:11" ht="12.75">
      <c r="A160" s="91"/>
      <c r="B160" s="325" t="s">
        <v>502</v>
      </c>
      <c r="C160" s="312"/>
      <c r="D160" s="312"/>
      <c r="E160" s="312"/>
      <c r="F160" s="312"/>
      <c r="G160" s="314"/>
      <c r="H160" s="91"/>
      <c r="I160" s="91"/>
      <c r="J160" s="91"/>
      <c r="K160" s="91"/>
    </row>
    <row r="161" spans="1:11" ht="12.75">
      <c r="A161" s="91"/>
      <c r="B161" s="325" t="s">
        <v>503</v>
      </c>
      <c r="C161" s="313"/>
      <c r="D161" s="313"/>
      <c r="E161" s="313"/>
      <c r="F161" s="313"/>
      <c r="G161" s="314"/>
      <c r="H161" s="91"/>
      <c r="I161" s="91"/>
      <c r="J161" s="91"/>
      <c r="K161" s="91"/>
    </row>
    <row r="162" spans="1:11" ht="12.75">
      <c r="A162" s="91"/>
      <c r="B162" s="312"/>
      <c r="C162" s="313"/>
      <c r="D162" s="313"/>
      <c r="E162" s="313"/>
      <c r="F162" s="313"/>
      <c r="G162" s="314"/>
      <c r="H162" s="91"/>
      <c r="I162" s="91"/>
      <c r="J162" s="91"/>
      <c r="K162" s="91"/>
    </row>
    <row r="163" spans="1:11" ht="12.75">
      <c r="A163" s="5"/>
      <c r="B163" s="300" t="s">
        <v>54</v>
      </c>
      <c r="C163" s="301"/>
      <c r="D163" s="302"/>
      <c r="E163" s="301"/>
      <c r="F163" s="301"/>
      <c r="G163" s="301"/>
      <c r="H163" s="91"/>
      <c r="I163" s="91"/>
      <c r="J163" s="91"/>
      <c r="K163" s="91"/>
    </row>
    <row r="164" spans="1:11" ht="12.75">
      <c r="A164" s="91"/>
      <c r="B164" s="303" t="s">
        <v>79</v>
      </c>
      <c r="C164" s="304" t="s">
        <v>219</v>
      </c>
      <c r="D164" s="305" t="s">
        <v>115</v>
      </c>
      <c r="E164" s="304" t="s">
        <v>114</v>
      </c>
      <c r="F164" s="304" t="s">
        <v>357</v>
      </c>
      <c r="G164" s="306" t="s">
        <v>444</v>
      </c>
      <c r="H164" s="91"/>
      <c r="I164" s="91"/>
      <c r="J164" s="91"/>
      <c r="K164" s="91"/>
    </row>
    <row r="165" spans="1:11" ht="12.75">
      <c r="A165" s="91"/>
      <c r="B165" s="307" t="s">
        <v>483</v>
      </c>
      <c r="C165" s="434">
        <v>160</v>
      </c>
      <c r="D165" s="434">
        <v>2860</v>
      </c>
      <c r="E165" s="434">
        <v>1050</v>
      </c>
      <c r="F165" s="434">
        <v>340</v>
      </c>
      <c r="G165" s="434">
        <v>4410</v>
      </c>
      <c r="H165" s="91"/>
      <c r="I165" s="91"/>
      <c r="J165" s="91"/>
      <c r="K165" s="91"/>
    </row>
    <row r="166" spans="1:11" ht="12.75">
      <c r="A166" s="91"/>
      <c r="B166" s="307" t="s">
        <v>101</v>
      </c>
      <c r="C166" s="436">
        <v>1780</v>
      </c>
      <c r="D166" s="436">
        <v>3720</v>
      </c>
      <c r="E166" s="436">
        <v>1000</v>
      </c>
      <c r="F166" s="436">
        <v>110</v>
      </c>
      <c r="G166" s="436">
        <v>6610</v>
      </c>
      <c r="H166" s="91"/>
      <c r="I166" s="91"/>
      <c r="J166" s="91"/>
      <c r="K166" s="91"/>
    </row>
    <row r="167" spans="1:11" ht="12.75">
      <c r="A167" s="91"/>
      <c r="B167" s="307" t="s">
        <v>102</v>
      </c>
      <c r="C167" s="436">
        <v>440</v>
      </c>
      <c r="D167" s="436">
        <v>3090</v>
      </c>
      <c r="E167" s="436">
        <v>670</v>
      </c>
      <c r="F167" s="436">
        <v>180</v>
      </c>
      <c r="G167" s="436">
        <v>4380</v>
      </c>
      <c r="H167" s="91"/>
      <c r="I167" s="91"/>
      <c r="J167" s="91"/>
      <c r="K167" s="91"/>
    </row>
    <row r="168" spans="1:11" ht="12.75">
      <c r="A168" s="91"/>
      <c r="B168" s="307" t="s">
        <v>104</v>
      </c>
      <c r="C168" s="436">
        <v>100</v>
      </c>
      <c r="D168" s="436">
        <v>900</v>
      </c>
      <c r="E168" s="436">
        <v>140</v>
      </c>
      <c r="F168" s="436">
        <v>10</v>
      </c>
      <c r="G168" s="436">
        <v>1150</v>
      </c>
      <c r="H168" s="91"/>
      <c r="I168" s="91"/>
      <c r="J168" s="91"/>
      <c r="K168" s="91"/>
    </row>
    <row r="169" spans="1:11" ht="12.75">
      <c r="A169" s="91"/>
      <c r="B169" s="307" t="s">
        <v>103</v>
      </c>
      <c r="C169" s="436">
        <v>50</v>
      </c>
      <c r="D169" s="436">
        <v>480</v>
      </c>
      <c r="E169" s="436">
        <v>440</v>
      </c>
      <c r="F169" s="436">
        <v>70</v>
      </c>
      <c r="G169" s="436">
        <v>1040</v>
      </c>
      <c r="H169" s="91"/>
      <c r="I169" s="91"/>
      <c r="J169" s="91"/>
      <c r="K169" s="91"/>
    </row>
    <row r="170" spans="1:11" ht="12.75">
      <c r="A170" s="91"/>
      <c r="B170" s="307" t="s">
        <v>57</v>
      </c>
      <c r="C170" s="436">
        <v>260</v>
      </c>
      <c r="D170" s="436">
        <v>630</v>
      </c>
      <c r="E170" s="436">
        <v>200</v>
      </c>
      <c r="F170" s="436">
        <v>50</v>
      </c>
      <c r="G170" s="436">
        <v>1140</v>
      </c>
      <c r="H170" s="91"/>
      <c r="I170" s="91"/>
      <c r="J170" s="91"/>
      <c r="K170" s="91"/>
    </row>
    <row r="171" spans="1:11" ht="12.75">
      <c r="A171" s="91"/>
      <c r="B171" s="308" t="s">
        <v>105</v>
      </c>
      <c r="C171" s="438">
        <v>110</v>
      </c>
      <c r="D171" s="438">
        <v>420</v>
      </c>
      <c r="E171" s="438">
        <v>140</v>
      </c>
      <c r="F171" s="438">
        <v>10</v>
      </c>
      <c r="G171" s="438">
        <v>680</v>
      </c>
      <c r="H171" s="91"/>
      <c r="I171" s="91"/>
      <c r="J171" s="91"/>
      <c r="K171" s="91"/>
    </row>
    <row r="172" spans="1:11" ht="12.75">
      <c r="A172" s="91"/>
      <c r="B172" s="307" t="s">
        <v>100</v>
      </c>
      <c r="C172" s="436">
        <v>2900</v>
      </c>
      <c r="D172" s="436">
        <v>12100</v>
      </c>
      <c r="E172" s="436">
        <v>3640</v>
      </c>
      <c r="F172" s="436">
        <v>770</v>
      </c>
      <c r="G172" s="436">
        <v>19410</v>
      </c>
      <c r="H172" s="91"/>
      <c r="I172" s="91"/>
      <c r="J172" s="91"/>
      <c r="K172" s="91"/>
    </row>
    <row r="173" spans="1:11" ht="12.75">
      <c r="A173" s="91"/>
      <c r="B173" s="307"/>
      <c r="C173" s="301"/>
      <c r="D173" s="301"/>
      <c r="E173" s="301"/>
      <c r="F173" s="301"/>
      <c r="G173" s="301"/>
      <c r="H173" s="91"/>
      <c r="I173" s="91"/>
      <c r="J173" s="91"/>
      <c r="K173" s="91"/>
    </row>
    <row r="174" spans="1:11" ht="12.75">
      <c r="A174" s="5"/>
      <c r="B174" s="300" t="s">
        <v>55</v>
      </c>
      <c r="C174" s="301"/>
      <c r="D174" s="301"/>
      <c r="E174" s="301"/>
      <c r="F174" s="301"/>
      <c r="G174" s="301"/>
      <c r="H174" s="91"/>
      <c r="I174" s="91"/>
      <c r="J174" s="91"/>
      <c r="K174" s="91"/>
    </row>
    <row r="175" spans="1:11" ht="12.75">
      <c r="A175" s="91"/>
      <c r="B175" s="303" t="s">
        <v>79</v>
      </c>
      <c r="C175" s="304" t="s">
        <v>219</v>
      </c>
      <c r="D175" s="305" t="s">
        <v>115</v>
      </c>
      <c r="E175" s="304" t="s">
        <v>114</v>
      </c>
      <c r="F175" s="304" t="s">
        <v>357</v>
      </c>
      <c r="G175" s="306" t="s">
        <v>444</v>
      </c>
      <c r="H175" s="91"/>
      <c r="I175" s="91"/>
      <c r="J175" s="91"/>
      <c r="K175" s="91"/>
    </row>
    <row r="176" spans="1:11" ht="12.75">
      <c r="A176" s="91"/>
      <c r="B176" s="307" t="s">
        <v>483</v>
      </c>
      <c r="C176" s="434">
        <v>510</v>
      </c>
      <c r="D176" s="434">
        <v>9180</v>
      </c>
      <c r="E176" s="434">
        <v>3280</v>
      </c>
      <c r="F176" s="434">
        <v>510</v>
      </c>
      <c r="G176" s="434">
        <v>13480</v>
      </c>
      <c r="H176" s="91"/>
      <c r="I176" s="91"/>
      <c r="J176" s="91"/>
      <c r="K176" s="91"/>
    </row>
    <row r="177" spans="1:11" ht="12.75">
      <c r="A177" s="91"/>
      <c r="B177" s="307" t="s">
        <v>101</v>
      </c>
      <c r="C177" s="435">
        <v>760</v>
      </c>
      <c r="D177" s="435">
        <v>6800</v>
      </c>
      <c r="E177" s="435">
        <v>1630</v>
      </c>
      <c r="F177" s="435">
        <v>140</v>
      </c>
      <c r="G177" s="436">
        <v>9330</v>
      </c>
      <c r="H177" s="91"/>
      <c r="I177" s="91"/>
      <c r="J177" s="91"/>
      <c r="K177" s="91"/>
    </row>
    <row r="178" spans="1:11" ht="12.75">
      <c r="A178" s="91"/>
      <c r="B178" s="307" t="s">
        <v>102</v>
      </c>
      <c r="C178" s="435">
        <v>310</v>
      </c>
      <c r="D178" s="435">
        <v>5920</v>
      </c>
      <c r="E178" s="435">
        <v>1560</v>
      </c>
      <c r="F178" s="435">
        <v>220</v>
      </c>
      <c r="G178" s="436">
        <v>8010</v>
      </c>
      <c r="H178" s="91"/>
      <c r="I178" s="91"/>
      <c r="J178" s="91"/>
      <c r="K178" s="91"/>
    </row>
    <row r="179" spans="1:11" ht="12.75">
      <c r="A179" s="91"/>
      <c r="B179" s="307" t="s">
        <v>104</v>
      </c>
      <c r="C179" s="435">
        <v>150</v>
      </c>
      <c r="D179" s="435">
        <v>2820</v>
      </c>
      <c r="E179" s="435">
        <v>410</v>
      </c>
      <c r="F179" s="436">
        <v>10</v>
      </c>
      <c r="G179" s="436">
        <v>3390</v>
      </c>
      <c r="H179" s="91"/>
      <c r="I179" s="91"/>
      <c r="J179" s="91"/>
      <c r="K179" s="91"/>
    </row>
    <row r="180" spans="1:11" ht="12.75">
      <c r="A180" s="91"/>
      <c r="B180" s="307" t="s">
        <v>103</v>
      </c>
      <c r="C180" s="435">
        <v>80</v>
      </c>
      <c r="D180" s="435">
        <v>1310</v>
      </c>
      <c r="E180" s="435">
        <v>1120</v>
      </c>
      <c r="F180" s="435">
        <v>200</v>
      </c>
      <c r="G180" s="436">
        <v>2710</v>
      </c>
      <c r="H180" s="91"/>
      <c r="I180" s="91"/>
      <c r="J180" s="91"/>
      <c r="K180" s="91"/>
    </row>
    <row r="181" spans="1:11" ht="12.75">
      <c r="A181" s="91"/>
      <c r="B181" s="307" t="s">
        <v>57</v>
      </c>
      <c r="C181" s="435">
        <v>170</v>
      </c>
      <c r="D181" s="435">
        <v>930</v>
      </c>
      <c r="E181" s="435">
        <v>250</v>
      </c>
      <c r="F181" s="435">
        <v>50</v>
      </c>
      <c r="G181" s="436">
        <v>1400</v>
      </c>
      <c r="H181" s="91"/>
      <c r="I181" s="91"/>
      <c r="J181" s="91"/>
      <c r="K181" s="91"/>
    </row>
    <row r="182" spans="1:11" ht="12.75">
      <c r="A182" s="91"/>
      <c r="B182" s="308" t="s">
        <v>105</v>
      </c>
      <c r="C182" s="437">
        <v>90</v>
      </c>
      <c r="D182" s="437">
        <v>790</v>
      </c>
      <c r="E182" s="437">
        <v>320</v>
      </c>
      <c r="F182" s="437">
        <v>10</v>
      </c>
      <c r="G182" s="438">
        <v>1210</v>
      </c>
      <c r="H182" s="91"/>
      <c r="I182" s="91"/>
      <c r="J182" s="91"/>
      <c r="K182" s="91"/>
    </row>
    <row r="183" spans="1:11" ht="12.75">
      <c r="A183" s="91"/>
      <c r="B183" s="307" t="s">
        <v>100</v>
      </c>
      <c r="C183" s="436">
        <v>2070</v>
      </c>
      <c r="D183" s="436">
        <v>27750</v>
      </c>
      <c r="E183" s="436">
        <v>8570</v>
      </c>
      <c r="F183" s="436">
        <v>1140</v>
      </c>
      <c r="G183" s="436">
        <v>39530</v>
      </c>
      <c r="H183" s="91"/>
      <c r="I183" s="91"/>
      <c r="J183" s="91"/>
      <c r="K183" s="91"/>
    </row>
    <row r="184" spans="1:10" ht="12.75">
      <c r="A184" s="91"/>
      <c r="B184" s="312"/>
      <c r="C184" s="313"/>
      <c r="D184" s="313"/>
      <c r="E184" s="313"/>
      <c r="F184" s="313"/>
      <c r="G184" s="314"/>
      <c r="H184" s="91"/>
      <c r="I184" s="91"/>
      <c r="J184" s="91"/>
    </row>
    <row r="185" spans="1:10" ht="12.75">
      <c r="A185" s="91"/>
      <c r="B185" s="312"/>
      <c r="C185" s="313"/>
      <c r="D185" s="313"/>
      <c r="E185" s="313"/>
      <c r="F185" s="313"/>
      <c r="G185" s="314"/>
      <c r="H185" s="91"/>
      <c r="I185" s="91"/>
      <c r="J185" s="91"/>
    </row>
    <row r="186" spans="6:10" ht="12.75">
      <c r="F186" s="327"/>
      <c r="G186" s="328"/>
      <c r="H186" s="91"/>
      <c r="I186" s="91"/>
      <c r="J186" s="91"/>
    </row>
    <row r="187" spans="6:9" ht="12.75" customHeight="1">
      <c r="F187" s="327"/>
      <c r="G187" s="328"/>
      <c r="H187" s="91"/>
      <c r="I187" s="91"/>
    </row>
    <row r="188" spans="6:9" ht="12.75">
      <c r="F188" s="327"/>
      <c r="G188" s="328"/>
      <c r="H188" s="91"/>
      <c r="I188" s="91"/>
    </row>
    <row r="189" spans="6:9" ht="12.75">
      <c r="F189" s="327"/>
      <c r="G189" s="328"/>
      <c r="H189" s="91"/>
      <c r="I189" s="91"/>
    </row>
    <row r="190" spans="6:9" ht="12.75">
      <c r="F190" s="327"/>
      <c r="G190" s="328"/>
      <c r="H190" s="91"/>
      <c r="I190" s="91"/>
    </row>
    <row r="191" spans="6:9" ht="12.75">
      <c r="F191" s="327"/>
      <c r="G191" s="328"/>
      <c r="H191" s="91"/>
      <c r="I191" s="91"/>
    </row>
    <row r="192" spans="6:9" ht="12.75">
      <c r="F192" s="327"/>
      <c r="G192" s="328"/>
      <c r="H192" s="91"/>
      <c r="I192" s="91"/>
    </row>
    <row r="193" spans="3:9" ht="12.75">
      <c r="C193"/>
      <c r="D193"/>
      <c r="E193"/>
      <c r="F193" s="327"/>
      <c r="G193" s="328"/>
      <c r="H193" s="91"/>
      <c r="I193" s="91"/>
    </row>
    <row r="194" spans="3:9" ht="12.75">
      <c r="C194"/>
      <c r="D194"/>
      <c r="E194"/>
      <c r="F194" s="327"/>
      <c r="G194" s="328"/>
      <c r="H194" s="91"/>
      <c r="I194" s="91"/>
    </row>
    <row r="195" spans="3:9" ht="12.75">
      <c r="C195"/>
      <c r="D195"/>
      <c r="E195"/>
      <c r="F195" s="327"/>
      <c r="G195" s="328"/>
      <c r="H195" s="91"/>
      <c r="I195" s="91"/>
    </row>
    <row r="196" spans="3:9" ht="12.75">
      <c r="C196"/>
      <c r="D196"/>
      <c r="E196"/>
      <c r="F196" s="327"/>
      <c r="G196" s="328"/>
      <c r="H196" s="91"/>
      <c r="I196" s="91"/>
    </row>
    <row r="197" spans="3:9" ht="12.75">
      <c r="C197"/>
      <c r="D197"/>
      <c r="E197"/>
      <c r="F197" s="327"/>
      <c r="G197" s="328"/>
      <c r="H197" s="91"/>
      <c r="I197" s="91"/>
    </row>
    <row r="198" spans="3:9" ht="12.75">
      <c r="C198"/>
      <c r="D198"/>
      <c r="E198"/>
      <c r="F198" s="327"/>
      <c r="G198" s="328"/>
      <c r="H198" s="91"/>
      <c r="I198" s="91"/>
    </row>
    <row r="199" spans="3:9" ht="12.75">
      <c r="C199"/>
      <c r="D199"/>
      <c r="E199"/>
      <c r="F199" s="327"/>
      <c r="G199" s="328"/>
      <c r="H199" s="91"/>
      <c r="I199" s="91"/>
    </row>
    <row r="200" spans="3:9" ht="12.75">
      <c r="C200"/>
      <c r="D200"/>
      <c r="E200"/>
      <c r="F200" s="327"/>
      <c r="G200" s="328"/>
      <c r="H200" s="91"/>
      <c r="I200" s="91"/>
    </row>
    <row r="201" spans="3:9" ht="12.75">
      <c r="C201"/>
      <c r="D201"/>
      <c r="E201"/>
      <c r="F201" s="327"/>
      <c r="G201" s="328"/>
      <c r="H201" s="91"/>
      <c r="I201" s="91"/>
    </row>
    <row r="202" spans="3:9" ht="12.75">
      <c r="C202"/>
      <c r="D202"/>
      <c r="E202"/>
      <c r="F202" s="327"/>
      <c r="G202" s="328"/>
      <c r="H202" s="91"/>
      <c r="I202" s="91"/>
    </row>
    <row r="203" spans="3:9" ht="12.75">
      <c r="C203"/>
      <c r="D203"/>
      <c r="E203"/>
      <c r="F203" s="327"/>
      <c r="G203" s="328"/>
      <c r="H203" s="91"/>
      <c r="I203" s="91"/>
    </row>
    <row r="204" spans="3:9" ht="12.75">
      <c r="C204"/>
      <c r="D204"/>
      <c r="E204"/>
      <c r="F204" s="327"/>
      <c r="G204" s="328"/>
      <c r="H204" s="91"/>
      <c r="I204" s="91"/>
    </row>
    <row r="205" spans="3:9" ht="12.75">
      <c r="C205"/>
      <c r="D205"/>
      <c r="E205"/>
      <c r="F205" s="327"/>
      <c r="G205" s="328"/>
      <c r="H205" s="91"/>
      <c r="I205" s="91"/>
    </row>
    <row r="206" spans="3:9" ht="12.75">
      <c r="C206"/>
      <c r="D206"/>
      <c r="E206"/>
      <c r="F206" s="327"/>
      <c r="G206" s="328"/>
      <c r="H206" s="91"/>
      <c r="I206" s="91"/>
    </row>
    <row r="207" spans="3:9" ht="12.75">
      <c r="C207"/>
      <c r="D207"/>
      <c r="E207"/>
      <c r="F207" s="327"/>
      <c r="G207" s="328"/>
      <c r="H207" s="91"/>
      <c r="I207" s="91"/>
    </row>
    <row r="208" spans="3:9" ht="12.75">
      <c r="C208"/>
      <c r="D208"/>
      <c r="E208"/>
      <c r="F208" s="327"/>
      <c r="G208" s="328"/>
      <c r="H208" s="91"/>
      <c r="I208" s="91"/>
    </row>
    <row r="209" spans="3:9" ht="12.75">
      <c r="C209"/>
      <c r="D209"/>
      <c r="E209"/>
      <c r="F209" s="327"/>
      <c r="G209" s="328"/>
      <c r="H209" s="91"/>
      <c r="I209" s="91"/>
    </row>
    <row r="210" spans="3:9" ht="12.75">
      <c r="C210"/>
      <c r="D210"/>
      <c r="E210"/>
      <c r="F210" s="327"/>
      <c r="G210" s="328"/>
      <c r="H210" s="91"/>
      <c r="I210" s="91"/>
    </row>
    <row r="211" spans="3:9" ht="12.75">
      <c r="C211"/>
      <c r="D211"/>
      <c r="E211"/>
      <c r="F211" s="327"/>
      <c r="G211" s="328"/>
      <c r="H211" s="91"/>
      <c r="I211" s="91"/>
    </row>
    <row r="212" spans="3:9" ht="12.75">
      <c r="C212"/>
      <c r="D212"/>
      <c r="E212"/>
      <c r="F212" s="327"/>
      <c r="G212" s="328"/>
      <c r="H212" s="91"/>
      <c r="I212" s="91"/>
    </row>
    <row r="213" spans="3:9" ht="12.75">
      <c r="C213"/>
      <c r="D213"/>
      <c r="E213"/>
      <c r="F213" s="327"/>
      <c r="G213" s="328"/>
      <c r="H213" s="91"/>
      <c r="I213" s="91"/>
    </row>
    <row r="214" spans="3:7" ht="12.75">
      <c r="C214"/>
      <c r="D214"/>
      <c r="E214"/>
      <c r="F214" s="327"/>
      <c r="G214" s="328"/>
    </row>
    <row r="215" spans="3:7" ht="12.75">
      <c r="C215"/>
      <c r="D215"/>
      <c r="E215"/>
      <c r="F215" s="327"/>
      <c r="G215" s="328"/>
    </row>
    <row r="216" spans="3:7" ht="12.75">
      <c r="C216"/>
      <c r="D216"/>
      <c r="E216"/>
      <c r="F216" s="327"/>
      <c r="G216" s="328"/>
    </row>
    <row r="217" spans="3:7" ht="12.75">
      <c r="C217"/>
      <c r="D217"/>
      <c r="E217"/>
      <c r="F217" s="327"/>
      <c r="G217" s="328"/>
    </row>
    <row r="218" spans="3:7" ht="12.75">
      <c r="C218"/>
      <c r="D218"/>
      <c r="E218"/>
      <c r="F218" s="327"/>
      <c r="G218" s="328"/>
    </row>
    <row r="219" spans="3:7" ht="12.75">
      <c r="C219"/>
      <c r="D219"/>
      <c r="E219"/>
      <c r="F219" s="327"/>
      <c r="G219" s="328"/>
    </row>
    <row r="220" spans="3:7" ht="12.75">
      <c r="C220"/>
      <c r="D220"/>
      <c r="E220"/>
      <c r="F220" s="327"/>
      <c r="G220" s="328"/>
    </row>
    <row r="221" spans="3:7" ht="12.75">
      <c r="C221"/>
      <c r="D221"/>
      <c r="E221"/>
      <c r="F221" s="327"/>
      <c r="G221" s="328"/>
    </row>
    <row r="222" spans="3:7" ht="12.75">
      <c r="C222"/>
      <c r="D222"/>
      <c r="E222"/>
      <c r="F222" s="327"/>
      <c r="G222" s="328"/>
    </row>
    <row r="223" spans="3:7" ht="12.75">
      <c r="C223"/>
      <c r="D223"/>
      <c r="E223"/>
      <c r="F223" s="327"/>
      <c r="G223" s="328"/>
    </row>
    <row r="224" spans="3:7" ht="12.75">
      <c r="C224"/>
      <c r="D224"/>
      <c r="E224"/>
      <c r="F224" s="327"/>
      <c r="G224" s="328"/>
    </row>
  </sheetData>
  <hyperlinks>
    <hyperlink ref="F5" location="'Aircraft market sectors'!A1" display="Passenger and freight market sector definitions"/>
    <hyperlink ref="F4" location="'Region summary'!A1" display="Region summary"/>
    <hyperlink ref="A2" r:id="rId1" display="http://www.boeing.com/cmo"/>
  </hyperlinks>
  <printOptions/>
  <pageMargins left="0.75" right="0.75" top="0.48" bottom="0.45" header="0.36" footer="0.32"/>
  <pageSetup fitToHeight="2" fitToWidth="2" horizontalDpi="1200" verticalDpi="1200" orientation="portrait" paperSize="9" scale="63" r:id="rId2"/>
  <headerFooter alignWithMargins="0">
    <oddFooter>&amp;L&amp;"Arial,Italic"Boeing Current Market Outlook 2009-2028&amp;C(C) Boeing 2009&amp;RPage &amp;P of &amp;N</oddFooter>
  </headerFooter>
  <rowBreaks count="1" manualBreakCount="1">
    <brk id="11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53"/>
    <pageSetUpPr fitToPage="1"/>
  </sheetPr>
  <dimension ref="A1:L52"/>
  <sheetViews>
    <sheetView showGridLines="0" showZeros="0" workbookViewId="0" topLeftCell="A1">
      <selection activeCell="F7" sqref="F7"/>
    </sheetView>
  </sheetViews>
  <sheetFormatPr defaultColWidth="11.421875" defaultRowHeight="12.75"/>
  <cols>
    <col min="1" max="1" width="28.7109375" style="0" customWidth="1"/>
    <col min="2" max="9" width="7.28125" style="423" bestFit="1" customWidth="1"/>
    <col min="10" max="10" width="7.28125" style="424" bestFit="1" customWidth="1"/>
    <col min="11" max="11" width="8.140625" style="424" bestFit="1" customWidth="1"/>
    <col min="12" max="12" width="19.57421875" style="0" bestFit="1" customWidth="1"/>
    <col min="13" max="16384" width="9.140625" style="0" customWidth="1"/>
  </cols>
  <sheetData>
    <row r="1" ht="15.75">
      <c r="A1" s="78" t="str">
        <f>'Region summary'!B1</f>
        <v>© Boeing 2011</v>
      </c>
    </row>
    <row r="2" spans="1:9" ht="15.75">
      <c r="A2" s="80" t="str">
        <f>'Region summary'!B2</f>
        <v>Boeing Current Market Outlook 2011 to 2030</v>
      </c>
      <c r="B2" s="425"/>
      <c r="C2" s="425"/>
      <c r="D2" s="425"/>
      <c r="E2" s="425"/>
      <c r="F2" s="425"/>
      <c r="G2" s="425"/>
      <c r="H2" s="425"/>
      <c r="I2" s="425"/>
    </row>
    <row r="4" ht="12.75">
      <c r="A4" s="5"/>
    </row>
    <row r="6" spans="1:12" ht="12.75">
      <c r="A6" s="12" t="s">
        <v>147</v>
      </c>
      <c r="B6" s="426"/>
      <c r="C6" s="426"/>
      <c r="D6" s="426"/>
      <c r="E6" s="426"/>
      <c r="F6" s="426"/>
      <c r="G6" s="426"/>
      <c r="H6" s="426"/>
      <c r="I6" s="426"/>
      <c r="J6" s="427"/>
      <c r="K6" s="427"/>
      <c r="L6" s="24" t="s">
        <v>445</v>
      </c>
    </row>
    <row r="7" spans="1:12" ht="12.75">
      <c r="A7" s="12"/>
      <c r="B7" s="426"/>
      <c r="C7" s="426"/>
      <c r="D7" s="426"/>
      <c r="E7" s="426"/>
      <c r="F7" s="426"/>
      <c r="G7" s="426"/>
      <c r="H7" s="426"/>
      <c r="I7" s="428"/>
      <c r="J7" s="429"/>
      <c r="K7" s="427"/>
      <c r="L7" s="17" t="s">
        <v>149</v>
      </c>
    </row>
    <row r="8" spans="1:12" s="79" customFormat="1" ht="12.75">
      <c r="A8" s="115" t="s">
        <v>148</v>
      </c>
      <c r="B8" s="19">
        <f aca="true" t="shared" si="0" ref="B8:I8">C8-1</f>
        <v>2002</v>
      </c>
      <c r="C8" s="19">
        <f t="shared" si="0"/>
        <v>2003</v>
      </c>
      <c r="D8" s="19">
        <f t="shared" si="0"/>
        <v>2004</v>
      </c>
      <c r="E8" s="19">
        <f t="shared" si="0"/>
        <v>2005</v>
      </c>
      <c r="F8" s="19">
        <f t="shared" si="0"/>
        <v>2006</v>
      </c>
      <c r="G8" s="19">
        <f t="shared" si="0"/>
        <v>2007</v>
      </c>
      <c r="H8" s="19">
        <f t="shared" si="0"/>
        <v>2008</v>
      </c>
      <c r="I8" s="430">
        <f t="shared" si="0"/>
        <v>2009</v>
      </c>
      <c r="J8" s="431">
        <f>K8-20</f>
        <v>2010</v>
      </c>
      <c r="K8" s="432">
        <f>'Airplane demand summary'!D46</f>
        <v>2030</v>
      </c>
      <c r="L8" s="19" t="str">
        <f>'Airplane demand summary'!B8</f>
        <v>2010 to 2030</v>
      </c>
    </row>
    <row r="9" spans="1:12" ht="12.75">
      <c r="A9" s="119" t="s">
        <v>446</v>
      </c>
      <c r="B9" s="440">
        <v>24.31436037453738</v>
      </c>
      <c r="C9" s="440">
        <v>26.67396563902321</v>
      </c>
      <c r="D9" s="440">
        <v>29.481166963285247</v>
      </c>
      <c r="E9" s="440">
        <v>35.97304281781172</v>
      </c>
      <c r="F9" s="440">
        <v>35.56006928196569</v>
      </c>
      <c r="G9" s="440">
        <v>37.30992457523483</v>
      </c>
      <c r="H9" s="440">
        <v>41.58163231681399</v>
      </c>
      <c r="I9" s="440">
        <v>43.87738013235306</v>
      </c>
      <c r="J9" s="441">
        <v>49.963499451573945</v>
      </c>
      <c r="K9" s="441">
        <v>136.18527158031347</v>
      </c>
      <c r="L9" s="415">
        <v>0.05141426411226524</v>
      </c>
    </row>
    <row r="10" spans="1:12" ht="12.75">
      <c r="A10" s="119" t="s">
        <v>447</v>
      </c>
      <c r="B10" s="440">
        <v>92.63486711917454</v>
      </c>
      <c r="C10" s="440">
        <v>96.43040151460268</v>
      </c>
      <c r="D10" s="440">
        <v>101.72974153702388</v>
      </c>
      <c r="E10" s="440">
        <v>106.36883107973927</v>
      </c>
      <c r="F10" s="440">
        <v>121.94799202043107</v>
      </c>
      <c r="G10" s="440">
        <v>125.32301788553914</v>
      </c>
      <c r="H10" s="440">
        <v>125.60353185035959</v>
      </c>
      <c r="I10" s="440">
        <v>128.1689843921267</v>
      </c>
      <c r="J10" s="441">
        <v>138.05088262136738</v>
      </c>
      <c r="K10" s="441">
        <v>339.16974268726307</v>
      </c>
      <c r="L10" s="415">
        <v>0.045969198538740486</v>
      </c>
    </row>
    <row r="11" spans="1:12" ht="12.75">
      <c r="A11" s="119" t="s">
        <v>448</v>
      </c>
      <c r="B11" s="440">
        <v>11.462960043968822</v>
      </c>
      <c r="C11" s="440">
        <v>13.026353245913658</v>
      </c>
      <c r="D11" s="440">
        <v>12.366494283202497</v>
      </c>
      <c r="E11" s="440">
        <v>16.79350146305171</v>
      </c>
      <c r="F11" s="440">
        <v>20.87494642836356</v>
      </c>
      <c r="G11" s="440">
        <v>23.087497273895156</v>
      </c>
      <c r="H11" s="440">
        <v>24.897960348377797</v>
      </c>
      <c r="I11" s="440">
        <v>32.855548677318716</v>
      </c>
      <c r="J11" s="441">
        <v>35.69794977585335</v>
      </c>
      <c r="K11" s="441">
        <v>122.79352954299333</v>
      </c>
      <c r="L11" s="415">
        <v>0.06371825005259346</v>
      </c>
    </row>
    <row r="12" spans="1:12" ht="12.75">
      <c r="A12" s="119" t="s">
        <v>449</v>
      </c>
      <c r="B12" s="440">
        <v>5.458229165615114</v>
      </c>
      <c r="C12" s="440">
        <v>4.382469334768332</v>
      </c>
      <c r="D12" s="440">
        <v>3.7554826279637146</v>
      </c>
      <c r="E12" s="440">
        <v>3.33092218272497</v>
      </c>
      <c r="F12" s="440">
        <v>4.328912867346371</v>
      </c>
      <c r="G12" s="440">
        <v>4.8850535677896705</v>
      </c>
      <c r="H12" s="440">
        <v>6.282115115939246</v>
      </c>
      <c r="I12" s="440">
        <v>8.769721801212397</v>
      </c>
      <c r="J12" s="441">
        <v>11.425248576153416</v>
      </c>
      <c r="K12" s="441">
        <v>39.68300284173779</v>
      </c>
      <c r="L12" s="415">
        <v>0.06423354404079884</v>
      </c>
    </row>
    <row r="13" spans="1:12" ht="12.75">
      <c r="A13" s="119" t="s">
        <v>450</v>
      </c>
      <c r="B13" s="440">
        <v>3.2193038891554</v>
      </c>
      <c r="C13" s="440">
        <v>2.9050187913352823</v>
      </c>
      <c r="D13" s="440">
        <v>3.306884039934547</v>
      </c>
      <c r="E13" s="440">
        <v>4.065335683243182</v>
      </c>
      <c r="F13" s="440">
        <v>4.118312788165782</v>
      </c>
      <c r="G13" s="440">
        <v>4.501622824686041</v>
      </c>
      <c r="H13" s="440">
        <v>5.241305336304433</v>
      </c>
      <c r="I13" s="440">
        <v>4.1944755242402865</v>
      </c>
      <c r="J13" s="441">
        <v>5.637198003299394</v>
      </c>
      <c r="K13" s="441">
        <v>24.009822766489133</v>
      </c>
      <c r="L13" s="415">
        <v>0.07514312765415387</v>
      </c>
    </row>
    <row r="14" spans="1:12" ht="12.75">
      <c r="A14" s="119" t="s">
        <v>451</v>
      </c>
      <c r="B14" s="440">
        <v>23.53954302410257</v>
      </c>
      <c r="C14" s="440">
        <v>25.662054048587148</v>
      </c>
      <c r="D14" s="440">
        <v>26.87470739852119</v>
      </c>
      <c r="E14" s="440">
        <v>26.64960697111888</v>
      </c>
      <c r="F14" s="440">
        <v>28.182735727062973</v>
      </c>
      <c r="G14" s="440">
        <v>29.675205908849104</v>
      </c>
      <c r="H14" s="440">
        <v>32.29304360166759</v>
      </c>
      <c r="I14" s="440">
        <v>29.797370305853896</v>
      </c>
      <c r="J14" s="441">
        <v>32.389642281340144</v>
      </c>
      <c r="K14" s="441">
        <v>84.94592833168048</v>
      </c>
      <c r="L14" s="415">
        <v>0.04938975698100312</v>
      </c>
    </row>
    <row r="15" spans="1:12" ht="12.75">
      <c r="A15" s="119" t="s">
        <v>452</v>
      </c>
      <c r="B15" s="440">
        <v>55.447890820500874</v>
      </c>
      <c r="C15" s="440">
        <v>57.442230309022385</v>
      </c>
      <c r="D15" s="440">
        <v>63.713796370461324</v>
      </c>
      <c r="E15" s="440">
        <v>67.04870904689857</v>
      </c>
      <c r="F15" s="440">
        <v>74.14699178901645</v>
      </c>
      <c r="G15" s="440">
        <v>80.70715318592974</v>
      </c>
      <c r="H15" s="440">
        <v>83.29337825269977</v>
      </c>
      <c r="I15" s="440">
        <v>77.07782277686196</v>
      </c>
      <c r="J15" s="441">
        <v>74.9108919152072</v>
      </c>
      <c r="K15" s="441">
        <v>177.6095917022379</v>
      </c>
      <c r="L15" s="415">
        <v>0.04410956038583369</v>
      </c>
    </row>
    <row r="16" spans="1:12" ht="12.75">
      <c r="A16" s="119" t="s">
        <v>453</v>
      </c>
      <c r="B16" s="440">
        <v>76.49493256937313</v>
      </c>
      <c r="C16" s="440">
        <v>79.93308497566309</v>
      </c>
      <c r="D16" s="440">
        <v>92.88896301334698</v>
      </c>
      <c r="E16" s="440">
        <v>100.5945682579375</v>
      </c>
      <c r="F16" s="440">
        <v>104.9942388242721</v>
      </c>
      <c r="G16" s="440">
        <v>106.82846681354962</v>
      </c>
      <c r="H16" s="440">
        <v>115.76848920578348</v>
      </c>
      <c r="I16" s="440">
        <v>104.6688655164181</v>
      </c>
      <c r="J16" s="441">
        <v>111.67863934270287</v>
      </c>
      <c r="K16" s="441">
        <v>249.66107217861878</v>
      </c>
      <c r="L16" s="415">
        <v>0.041043881089594114</v>
      </c>
    </row>
    <row r="17" spans="1:12" ht="12.75">
      <c r="A17" s="119" t="s">
        <v>454</v>
      </c>
      <c r="B17" s="440">
        <v>7.141629004730331</v>
      </c>
      <c r="C17" s="440">
        <v>7.095272029511192</v>
      </c>
      <c r="D17" s="440">
        <v>9.382575941595732</v>
      </c>
      <c r="E17" s="440">
        <v>10.221465493280721</v>
      </c>
      <c r="F17" s="440">
        <v>10.333063870657845</v>
      </c>
      <c r="G17" s="440">
        <v>11.013808842489361</v>
      </c>
      <c r="H17" s="440">
        <v>13.08312221175063</v>
      </c>
      <c r="I17" s="440">
        <v>13.970806486857544</v>
      </c>
      <c r="J17" s="441">
        <v>17.949400487627983</v>
      </c>
      <c r="K17" s="441">
        <v>75.86721800516321</v>
      </c>
      <c r="L17" s="415">
        <v>0.07473207533556536</v>
      </c>
    </row>
    <row r="18" spans="1:12" ht="12.75">
      <c r="A18" s="119" t="s">
        <v>455</v>
      </c>
      <c r="B18" s="440">
        <v>100.20727462279481</v>
      </c>
      <c r="C18" s="440">
        <v>105.10965175534852</v>
      </c>
      <c r="D18" s="440">
        <v>142.44658484862143</v>
      </c>
      <c r="E18" s="440">
        <v>164.2064181326608</v>
      </c>
      <c r="F18" s="440">
        <v>189.78622102161594</v>
      </c>
      <c r="G18" s="440">
        <v>223.11580020000002</v>
      </c>
      <c r="H18" s="440">
        <v>236.53385989999998</v>
      </c>
      <c r="I18" s="440">
        <v>287.3610907759881</v>
      </c>
      <c r="J18" s="441">
        <v>335.440094</v>
      </c>
      <c r="K18" s="441">
        <v>1411.81</v>
      </c>
      <c r="L18" s="415">
        <v>0.07450406822547673</v>
      </c>
    </row>
    <row r="19" spans="1:12" ht="12.75">
      <c r="A19" s="350" t="s">
        <v>456</v>
      </c>
      <c r="B19" s="440">
        <v>41.05407280424063</v>
      </c>
      <c r="C19" s="440">
        <v>36.18281642521868</v>
      </c>
      <c r="D19" s="440">
        <v>55.2209752950506</v>
      </c>
      <c r="E19" s="440">
        <v>63.102486780396696</v>
      </c>
      <c r="F19" s="440">
        <v>75.27063049979711</v>
      </c>
      <c r="G19" s="440">
        <v>91.03347985830406</v>
      </c>
      <c r="H19" s="440">
        <v>82.5220300237579</v>
      </c>
      <c r="I19" s="440">
        <v>77.32713863005219</v>
      </c>
      <c r="J19" s="441">
        <v>82.38100077095103</v>
      </c>
      <c r="K19" s="441">
        <v>340.3898060357486</v>
      </c>
      <c r="L19" s="415">
        <v>0.07351341053236338</v>
      </c>
    </row>
    <row r="20" spans="1:12" ht="12.75">
      <c r="A20" s="119" t="s">
        <v>457</v>
      </c>
      <c r="B20" s="440">
        <v>33.418167901510365</v>
      </c>
      <c r="C20" s="440">
        <v>24.66375370032905</v>
      </c>
      <c r="D20" s="440">
        <v>38.50516560239974</v>
      </c>
      <c r="E20" s="440">
        <v>48.1421869304278</v>
      </c>
      <c r="F20" s="440">
        <v>51.43625266101276</v>
      </c>
      <c r="G20" s="440">
        <v>54.52287609528979</v>
      </c>
      <c r="H20" s="440">
        <v>62.698036905404805</v>
      </c>
      <c r="I20" s="440">
        <v>60.880879467200316</v>
      </c>
      <c r="J20" s="441">
        <v>71.17612927204532</v>
      </c>
      <c r="K20" s="441">
        <v>265.3</v>
      </c>
      <c r="L20" s="415">
        <v>0.0679972739981991</v>
      </c>
    </row>
    <row r="21" spans="1:12" ht="12.75">
      <c r="A21" s="119" t="s">
        <v>458</v>
      </c>
      <c r="B21" s="440">
        <v>27.8816514728549</v>
      </c>
      <c r="C21" s="440">
        <v>22.459617982839287</v>
      </c>
      <c r="D21" s="440">
        <v>29.00812353683337</v>
      </c>
      <c r="E21" s="440">
        <v>31.79250621165367</v>
      </c>
      <c r="F21" s="440">
        <v>34.05116015108841</v>
      </c>
      <c r="G21" s="440">
        <v>34.65151657649457</v>
      </c>
      <c r="H21" s="440">
        <v>40.489635186228526</v>
      </c>
      <c r="I21" s="440">
        <v>34.75470979327949</v>
      </c>
      <c r="J21" s="441">
        <v>38.33009238880825</v>
      </c>
      <c r="K21" s="441">
        <v>166.10487327478137</v>
      </c>
      <c r="L21" s="415">
        <v>0.07607396845322745</v>
      </c>
    </row>
    <row r="22" spans="1:12" ht="12.75">
      <c r="A22" s="119" t="s">
        <v>459</v>
      </c>
      <c r="B22" s="440">
        <v>11.801928825051514</v>
      </c>
      <c r="C22" s="440">
        <v>10.278539249002643</v>
      </c>
      <c r="D22" s="440">
        <v>15.361137791279246</v>
      </c>
      <c r="E22" s="440">
        <v>17.554814110491996</v>
      </c>
      <c r="F22" s="440">
        <v>19.263726838363084</v>
      </c>
      <c r="G22" s="440">
        <v>19.403792959979988</v>
      </c>
      <c r="H22" s="440">
        <v>21.373657528051943</v>
      </c>
      <c r="I22" s="440">
        <v>22.787977807444776</v>
      </c>
      <c r="J22" s="441">
        <v>27.734524910000346</v>
      </c>
      <c r="K22" s="441">
        <v>110.26</v>
      </c>
      <c r="L22" s="415">
        <v>0.07144495153672481</v>
      </c>
    </row>
    <row r="23" spans="1:12" ht="12.75">
      <c r="A23" s="119" t="s">
        <v>460</v>
      </c>
      <c r="B23" s="440">
        <v>43.31840960907652</v>
      </c>
      <c r="C23" s="440">
        <v>36.182313897879204</v>
      </c>
      <c r="D23" s="440">
        <v>49.235206094402976</v>
      </c>
      <c r="E23" s="440">
        <v>55.8745662521389</v>
      </c>
      <c r="F23" s="440">
        <v>52.936921137610945</v>
      </c>
      <c r="G23" s="440">
        <v>57.46610590526096</v>
      </c>
      <c r="H23" s="440">
        <v>58.741415779611316</v>
      </c>
      <c r="I23" s="440">
        <v>53.95317149434556</v>
      </c>
      <c r="J23" s="441">
        <v>65.6964148810183</v>
      </c>
      <c r="K23" s="441">
        <v>322.4569884777229</v>
      </c>
      <c r="L23" s="415">
        <v>0.08279565945001788</v>
      </c>
    </row>
    <row r="24" spans="1:12" ht="12.75">
      <c r="A24" s="119" t="s">
        <v>661</v>
      </c>
      <c r="B24" s="440">
        <v>46.942</v>
      </c>
      <c r="C24" s="440">
        <v>50.228</v>
      </c>
      <c r="D24" s="440">
        <v>54.749</v>
      </c>
      <c r="E24" s="440">
        <v>55.953</v>
      </c>
      <c r="F24" s="440">
        <v>57.347857015073416</v>
      </c>
      <c r="G24" s="440">
        <v>57.71724433946208</v>
      </c>
      <c r="H24" s="440">
        <v>61.23289354083867</v>
      </c>
      <c r="I24" s="440">
        <v>48.97971081927359</v>
      </c>
      <c r="J24" s="441">
        <v>52.89808768481548</v>
      </c>
      <c r="K24" s="441">
        <v>134.56367940423203</v>
      </c>
      <c r="L24" s="415">
        <v>0.04779034935552118</v>
      </c>
    </row>
    <row r="25" spans="1:12" ht="12.75">
      <c r="A25" s="119" t="s">
        <v>662</v>
      </c>
      <c r="B25" s="440">
        <v>39.71581140821023</v>
      </c>
      <c r="C25" s="440">
        <v>43.817522375494654</v>
      </c>
      <c r="D25" s="440">
        <v>53.862076527966046</v>
      </c>
      <c r="E25" s="440">
        <v>58.065972770489175</v>
      </c>
      <c r="F25" s="440">
        <v>63.66147197203445</v>
      </c>
      <c r="G25" s="440">
        <v>81.23972086103512</v>
      </c>
      <c r="H25" s="440">
        <v>76.1698145742673</v>
      </c>
      <c r="I25" s="440">
        <v>83.72471370184483</v>
      </c>
      <c r="J25" s="441">
        <v>99.89086468103142</v>
      </c>
      <c r="K25" s="441">
        <v>214.67990033920793</v>
      </c>
      <c r="L25" s="415">
        <v>0.03899457663667261</v>
      </c>
    </row>
    <row r="26" spans="1:12" ht="12.75">
      <c r="A26" s="119" t="s">
        <v>461</v>
      </c>
      <c r="B26" s="440">
        <v>453.799</v>
      </c>
      <c r="C26" s="440">
        <v>474.7</v>
      </c>
      <c r="D26" s="440">
        <v>521.221</v>
      </c>
      <c r="E26" s="440">
        <v>561.876</v>
      </c>
      <c r="F26" s="440">
        <v>593.3216850078251</v>
      </c>
      <c r="G26" s="440">
        <v>634.2140393719126</v>
      </c>
      <c r="H26" s="440">
        <v>660.5464567666253</v>
      </c>
      <c r="I26" s="440">
        <v>624.9227740997529</v>
      </c>
      <c r="J26" s="441">
        <v>644.133413598509</v>
      </c>
      <c r="K26" s="441">
        <v>1412.35</v>
      </c>
      <c r="L26" s="415">
        <v>0.04003588743137754</v>
      </c>
    </row>
    <row r="27" spans="1:12" ht="12.75">
      <c r="A27" s="350" t="s">
        <v>462</v>
      </c>
      <c r="B27" s="440">
        <v>71.35729863038176</v>
      </c>
      <c r="C27" s="440">
        <v>72.38796480778224</v>
      </c>
      <c r="D27" s="440">
        <v>79.85010540940452</v>
      </c>
      <c r="E27" s="440">
        <v>87.2800364941681</v>
      </c>
      <c r="F27" s="440">
        <v>99.18410969823724</v>
      </c>
      <c r="G27" s="440">
        <v>106.59329763454298</v>
      </c>
      <c r="H27" s="440">
        <v>115.15353765186275</v>
      </c>
      <c r="I27" s="440">
        <v>131.1603889149959</v>
      </c>
      <c r="J27" s="441">
        <v>143.66550671058886</v>
      </c>
      <c r="K27" s="441">
        <v>413.05317273598564</v>
      </c>
      <c r="L27" s="415">
        <v>0.054223450727739264</v>
      </c>
    </row>
    <row r="28" spans="1:12" ht="12.75">
      <c r="A28" s="350" t="s">
        <v>463</v>
      </c>
      <c r="B28" s="440">
        <v>345.955</v>
      </c>
      <c r="C28" s="440">
        <v>349.471</v>
      </c>
      <c r="D28" s="440">
        <v>375.681</v>
      </c>
      <c r="E28" s="440">
        <v>390.708</v>
      </c>
      <c r="F28" s="440">
        <v>403.37463828329436</v>
      </c>
      <c r="G28" s="440">
        <v>420.6086177733024</v>
      </c>
      <c r="H28" s="440">
        <v>432.3757429542293</v>
      </c>
      <c r="I28" s="440">
        <v>405.40065524713987</v>
      </c>
      <c r="J28" s="441">
        <v>423.7829040449189</v>
      </c>
      <c r="K28" s="441">
        <v>862.9823923075515</v>
      </c>
      <c r="L28" s="415">
        <v>0.03619841848399119</v>
      </c>
    </row>
    <row r="29" spans="1:12" ht="12.75">
      <c r="A29" s="119" t="s">
        <v>464</v>
      </c>
      <c r="B29" s="440">
        <v>56.928263573352794</v>
      </c>
      <c r="C29" s="440">
        <v>53.8595478743986</v>
      </c>
      <c r="D29" s="440">
        <v>58.485969876299514</v>
      </c>
      <c r="E29" s="440">
        <v>58.182548625936995</v>
      </c>
      <c r="F29" s="440">
        <v>58.7773639540798</v>
      </c>
      <c r="G29" s="440">
        <v>64.72624978130808</v>
      </c>
      <c r="H29" s="440">
        <v>66.16444048936033</v>
      </c>
      <c r="I29" s="440">
        <v>56.91473626944055</v>
      </c>
      <c r="J29" s="441">
        <v>60.02763288571642</v>
      </c>
      <c r="K29" s="441">
        <v>116.28237734694552</v>
      </c>
      <c r="L29" s="415">
        <v>0.03361340770224097</v>
      </c>
    </row>
    <row r="30" spans="1:12" ht="12.75">
      <c r="A30" s="119" t="s">
        <v>465</v>
      </c>
      <c r="B30" s="440">
        <v>50.0930157281135</v>
      </c>
      <c r="C30" s="440">
        <v>48.091384267822875</v>
      </c>
      <c r="D30" s="440">
        <v>54.97046961087781</v>
      </c>
      <c r="E30" s="440">
        <v>63.88557365195657</v>
      </c>
      <c r="F30" s="440">
        <v>67.36428600850067</v>
      </c>
      <c r="G30" s="440">
        <v>70.74710969806362</v>
      </c>
      <c r="H30" s="440">
        <v>75.16639756868686</v>
      </c>
      <c r="I30" s="440">
        <v>79.33940816436589</v>
      </c>
      <c r="J30" s="441">
        <v>81.85104922377269</v>
      </c>
      <c r="K30" s="441">
        <v>220.92871430976933</v>
      </c>
      <c r="L30" s="415">
        <v>0.05090000890194424</v>
      </c>
    </row>
    <row r="31" spans="1:12" ht="12.75">
      <c r="A31" s="119" t="s">
        <v>466</v>
      </c>
      <c r="B31" s="440">
        <v>96.31607411291175</v>
      </c>
      <c r="C31" s="440">
        <v>92.43806426246391</v>
      </c>
      <c r="D31" s="440">
        <v>100.69433223283693</v>
      </c>
      <c r="E31" s="440">
        <v>100.34799086823884</v>
      </c>
      <c r="F31" s="440">
        <v>97.58373692489167</v>
      </c>
      <c r="G31" s="440">
        <v>92.42117789946344</v>
      </c>
      <c r="H31" s="440">
        <v>99.98253302772405</v>
      </c>
      <c r="I31" s="440">
        <v>98.45870155028474</v>
      </c>
      <c r="J31" s="441">
        <v>100.12161888347417</v>
      </c>
      <c r="K31" s="441">
        <v>273.8327718017406</v>
      </c>
      <c r="L31" s="415">
        <v>0.051593463529114425</v>
      </c>
    </row>
    <row r="32" spans="1:12" ht="12.75">
      <c r="A32" s="119" t="s">
        <v>657</v>
      </c>
      <c r="B32" s="440">
        <v>31.505567786556014</v>
      </c>
      <c r="C32" s="440">
        <v>33.21496765558738</v>
      </c>
      <c r="D32" s="440">
        <v>37.674368663665106</v>
      </c>
      <c r="E32" s="440">
        <v>43.416692458809415</v>
      </c>
      <c r="F32" s="440">
        <v>53.255437553717606</v>
      </c>
      <c r="G32" s="440">
        <v>58.50844411026603</v>
      </c>
      <c r="H32" s="440">
        <v>55.48457793192856</v>
      </c>
      <c r="I32" s="440">
        <v>51.2901736767294</v>
      </c>
      <c r="J32" s="441">
        <v>54.737146211968415</v>
      </c>
      <c r="K32" s="441">
        <v>205.9377030680748</v>
      </c>
      <c r="L32" s="415">
        <v>0.06849547098388853</v>
      </c>
    </row>
    <row r="33" spans="1:12" ht="12.75">
      <c r="A33" s="119" t="s">
        <v>467</v>
      </c>
      <c r="B33" s="440">
        <v>33.13509582227812</v>
      </c>
      <c r="C33" s="440">
        <v>34.94670724155998</v>
      </c>
      <c r="D33" s="440">
        <v>40.831611550843746</v>
      </c>
      <c r="E33" s="440">
        <v>48.720100011125986</v>
      </c>
      <c r="F33" s="440">
        <v>53.67911301730273</v>
      </c>
      <c r="G33" s="440">
        <v>60.267899795179154</v>
      </c>
      <c r="H33" s="440">
        <v>63.365152658570146</v>
      </c>
      <c r="I33" s="440">
        <v>68.59308578061369</v>
      </c>
      <c r="J33" s="441">
        <v>77.04223583423256</v>
      </c>
      <c r="K33" s="441">
        <v>205.28045741449964</v>
      </c>
      <c r="L33" s="415">
        <v>0.05022157636421776</v>
      </c>
    </row>
    <row r="34" spans="1:12" ht="12.75">
      <c r="A34" s="119" t="s">
        <v>468</v>
      </c>
      <c r="B34" s="440">
        <v>10.745318844040526</v>
      </c>
      <c r="C34" s="440">
        <v>12.951647487696395</v>
      </c>
      <c r="D34" s="440">
        <v>17.22672617482448</v>
      </c>
      <c r="E34" s="440">
        <v>16.080726542778955</v>
      </c>
      <c r="F34" s="440">
        <v>20.648271689384654</v>
      </c>
      <c r="G34" s="440">
        <v>23.440113505383692</v>
      </c>
      <c r="H34" s="440">
        <v>29.53583320992565</v>
      </c>
      <c r="I34" s="440">
        <v>41.56050583474906</v>
      </c>
      <c r="J34" s="441">
        <v>45.98368516973042</v>
      </c>
      <c r="K34" s="441">
        <v>187.74078384381457</v>
      </c>
      <c r="L34" s="415">
        <v>0.07287158384139825</v>
      </c>
    </row>
    <row r="35" spans="1:12" ht="12.75">
      <c r="A35" s="119" t="s">
        <v>469</v>
      </c>
      <c r="B35" s="440">
        <v>23.705774732607626</v>
      </c>
      <c r="C35" s="440">
        <v>22.579620551545403</v>
      </c>
      <c r="D35" s="440">
        <v>26.379624334564326</v>
      </c>
      <c r="E35" s="440">
        <v>29.45681998472697</v>
      </c>
      <c r="F35" s="440">
        <v>33.79091868448938</v>
      </c>
      <c r="G35" s="440">
        <v>38.74496721762744</v>
      </c>
      <c r="H35" s="440">
        <v>43.14117435061649</v>
      </c>
      <c r="I35" s="440">
        <v>46.65934576301279</v>
      </c>
      <c r="J35" s="441">
        <v>55.936887599174476</v>
      </c>
      <c r="K35" s="441">
        <v>204.84589683821878</v>
      </c>
      <c r="L35" s="415">
        <v>0.06705412384296028</v>
      </c>
    </row>
    <row r="36" spans="1:12" ht="12.75">
      <c r="A36" s="119" t="s">
        <v>658</v>
      </c>
      <c r="B36" s="440">
        <v>30.68089503638973</v>
      </c>
      <c r="C36" s="440">
        <v>32.80185261401043</v>
      </c>
      <c r="D36" s="440">
        <v>34.33577973395771</v>
      </c>
      <c r="E36" s="440">
        <v>36.05943991171085</v>
      </c>
      <c r="F36" s="440">
        <v>41.965921796807926</v>
      </c>
      <c r="G36" s="440">
        <v>46.4943381591965</v>
      </c>
      <c r="H36" s="440">
        <v>49.459495245098545</v>
      </c>
      <c r="I36" s="440">
        <v>64.81415180180927</v>
      </c>
      <c r="J36" s="441">
        <v>74.94476880365505</v>
      </c>
      <c r="K36" s="441">
        <v>289.9539866165176</v>
      </c>
      <c r="L36" s="415">
        <v>0.06998918491078543</v>
      </c>
    </row>
    <row r="37" spans="1:12" ht="12.75">
      <c r="A37" s="119" t="s">
        <v>470</v>
      </c>
      <c r="B37" s="440">
        <v>783.481</v>
      </c>
      <c r="C37" s="440">
        <v>828.273</v>
      </c>
      <c r="D37" s="440">
        <v>927.725</v>
      </c>
      <c r="E37" s="440">
        <v>972.256</v>
      </c>
      <c r="F37" s="440">
        <v>977.3648519713714</v>
      </c>
      <c r="G37" s="440">
        <v>1022.412789897166</v>
      </c>
      <c r="H37" s="440">
        <v>974.068885584245</v>
      </c>
      <c r="I37" s="440">
        <v>898.0632913763002</v>
      </c>
      <c r="J37" s="441">
        <v>918.0361774669062</v>
      </c>
      <c r="K37" s="441">
        <v>1444.6256603738632</v>
      </c>
      <c r="L37" s="415">
        <v>0.02292731690691774</v>
      </c>
    </row>
    <row r="38" spans="1:12" ht="12.75">
      <c r="A38" s="119" t="s">
        <v>471</v>
      </c>
      <c r="B38" s="440">
        <v>115.77014382661723</v>
      </c>
      <c r="C38" s="440">
        <v>104.98529262734559</v>
      </c>
      <c r="D38" s="440">
        <v>113.90472991377075</v>
      </c>
      <c r="E38" s="440">
        <v>122.98649397586422</v>
      </c>
      <c r="F38" s="440">
        <v>116.54842444647055</v>
      </c>
      <c r="G38" s="440">
        <v>126.47316874915268</v>
      </c>
      <c r="H38" s="440">
        <v>118.8068676775929</v>
      </c>
      <c r="I38" s="440">
        <v>100.84508122163784</v>
      </c>
      <c r="J38" s="441">
        <v>106.33698140675266</v>
      </c>
      <c r="K38" s="441">
        <v>182.26502691480817</v>
      </c>
      <c r="L38" s="415">
        <v>0.02730866394916065</v>
      </c>
    </row>
    <row r="39" spans="1:12" ht="12.75">
      <c r="A39" s="119" t="s">
        <v>472</v>
      </c>
      <c r="B39" s="440">
        <v>24.858831683353298</v>
      </c>
      <c r="C39" s="440">
        <v>25.402678419079013</v>
      </c>
      <c r="D39" s="440">
        <v>27.927143051356584</v>
      </c>
      <c r="E39" s="440">
        <v>29.063039734273914</v>
      </c>
      <c r="F39" s="440">
        <v>30.581932585357244</v>
      </c>
      <c r="G39" s="440">
        <v>32.11413566008465</v>
      </c>
      <c r="H39" s="440">
        <v>32.256683417325405</v>
      </c>
      <c r="I39" s="440">
        <v>34.81040081941998</v>
      </c>
      <c r="J39" s="441">
        <v>35.63807966124926</v>
      </c>
      <c r="K39" s="441">
        <v>84.24253075315433</v>
      </c>
      <c r="L39" s="415">
        <v>0.04395278098712918</v>
      </c>
    </row>
    <row r="40" spans="1:12" ht="12.75">
      <c r="A40" s="119" t="s">
        <v>473</v>
      </c>
      <c r="B40" s="440">
        <v>43.984247461066204</v>
      </c>
      <c r="C40" s="440">
        <v>38.87545804997632</v>
      </c>
      <c r="D40" s="440">
        <v>42.13140807077774</v>
      </c>
      <c r="E40" s="440">
        <v>46.22589121048318</v>
      </c>
      <c r="F40" s="440">
        <v>50.678983690477764</v>
      </c>
      <c r="G40" s="440">
        <v>52.06295490521649</v>
      </c>
      <c r="H40" s="440">
        <v>52.67790799886381</v>
      </c>
      <c r="I40" s="440">
        <v>56.872818410515734</v>
      </c>
      <c r="J40" s="441">
        <v>60.907076500193604</v>
      </c>
      <c r="K40" s="441">
        <v>240.144855553956</v>
      </c>
      <c r="L40" s="415">
        <v>0.07100198724829143</v>
      </c>
    </row>
    <row r="41" spans="1:12" ht="12.75">
      <c r="A41" s="119" t="s">
        <v>474</v>
      </c>
      <c r="B41" s="440">
        <v>28.97399681811856</v>
      </c>
      <c r="C41" s="440">
        <v>24.659976313076648</v>
      </c>
      <c r="D41" s="440">
        <v>29.675494279906598</v>
      </c>
      <c r="E41" s="440">
        <v>35.26585352629312</v>
      </c>
      <c r="F41" s="440">
        <v>34.12509697868524</v>
      </c>
      <c r="G41" s="440">
        <v>38.30810913867642</v>
      </c>
      <c r="H41" s="440">
        <v>38.590237492028436</v>
      </c>
      <c r="I41" s="440">
        <v>30.08040756090162</v>
      </c>
      <c r="J41" s="441">
        <v>30.73009622483833</v>
      </c>
      <c r="K41" s="441">
        <v>105.47651024805947</v>
      </c>
      <c r="L41" s="415">
        <v>0.06360309302119216</v>
      </c>
    </row>
    <row r="42" spans="1:12" ht="12.75">
      <c r="A42" s="119" t="s">
        <v>475</v>
      </c>
      <c r="B42" s="440">
        <v>81.69154021454379</v>
      </c>
      <c r="C42" s="440">
        <v>78.82741774447031</v>
      </c>
      <c r="D42" s="440">
        <v>72.65763144241254</v>
      </c>
      <c r="E42" s="440">
        <v>70.10165997650257</v>
      </c>
      <c r="F42" s="440">
        <v>72.80281916861298</v>
      </c>
      <c r="G42" s="440">
        <v>74.92311680127402</v>
      </c>
      <c r="H42" s="440">
        <v>77.23684380049089</v>
      </c>
      <c r="I42" s="440">
        <v>71.789272448913</v>
      </c>
      <c r="J42" s="441">
        <v>71.75957941789072</v>
      </c>
      <c r="K42" s="441">
        <v>138.66564659613078</v>
      </c>
      <c r="L42" s="415">
        <v>0.03348564766377171</v>
      </c>
    </row>
    <row r="43" spans="1:12" ht="12.75">
      <c r="A43" s="119" t="s">
        <v>476</v>
      </c>
      <c r="B43" s="440">
        <v>19.7584076910904</v>
      </c>
      <c r="C43" s="440">
        <v>17.847566632205414</v>
      </c>
      <c r="D43" s="440">
        <v>20.26070234122723</v>
      </c>
      <c r="E43" s="440">
        <v>18.999736475468413</v>
      </c>
      <c r="F43" s="440">
        <v>19.592708781192268</v>
      </c>
      <c r="G43" s="440">
        <v>20.806296805638347</v>
      </c>
      <c r="H43" s="440">
        <v>19.536792784765716</v>
      </c>
      <c r="I43" s="440">
        <v>12.886700797736646</v>
      </c>
      <c r="J43" s="441">
        <v>16.14622950884951</v>
      </c>
      <c r="K43" s="441">
        <v>31.282877546926798</v>
      </c>
      <c r="L43" s="415">
        <v>0.03362208145868961</v>
      </c>
    </row>
    <row r="44" spans="1:12" ht="12.75">
      <c r="A44" s="119" t="s">
        <v>477</v>
      </c>
      <c r="B44" s="440">
        <v>63.688793162702446</v>
      </c>
      <c r="C44" s="440">
        <v>55.99260279883175</v>
      </c>
      <c r="D44" s="440">
        <v>66.2008276666929</v>
      </c>
      <c r="E44" s="440">
        <v>70.95420001006374</v>
      </c>
      <c r="F44" s="440">
        <v>77.02541347753967</v>
      </c>
      <c r="G44" s="440">
        <v>85.7098530667497</v>
      </c>
      <c r="H44" s="440">
        <v>84.04959863517806</v>
      </c>
      <c r="I44" s="440">
        <v>70.20821424058694</v>
      </c>
      <c r="J44" s="441">
        <v>74.07713225551775</v>
      </c>
      <c r="K44" s="441">
        <v>236.68754166013989</v>
      </c>
      <c r="L44" s="415">
        <v>0.059801578149871526</v>
      </c>
    </row>
    <row r="45" spans="1:12" ht="12.75">
      <c r="A45" s="119" t="s">
        <v>478</v>
      </c>
      <c r="B45" s="440">
        <v>49.84584468476507</v>
      </c>
      <c r="C45" s="440">
        <v>52.090416370207755</v>
      </c>
      <c r="D45" s="440">
        <v>65.23008800980735</v>
      </c>
      <c r="E45" s="440">
        <v>65.24891445046852</v>
      </c>
      <c r="F45" s="440">
        <v>70.84283916738205</v>
      </c>
      <c r="G45" s="440">
        <v>74.35423678066948</v>
      </c>
      <c r="H45" s="440">
        <v>72.00871764661255</v>
      </c>
      <c r="I45" s="440">
        <v>73.28949378028763</v>
      </c>
      <c r="J45" s="441">
        <v>80.64546302871011</v>
      </c>
      <c r="K45" s="441">
        <v>200.51772988039403</v>
      </c>
      <c r="L45" s="415">
        <v>0.04659496712875333</v>
      </c>
    </row>
    <row r="46" spans="1:12" ht="12.75">
      <c r="A46" s="119" t="s">
        <v>479</v>
      </c>
      <c r="B46" s="440">
        <v>43.65694019145048</v>
      </c>
      <c r="C46" s="440">
        <v>43.89581727896398</v>
      </c>
      <c r="D46" s="440">
        <v>50.98239509918473</v>
      </c>
      <c r="E46" s="440">
        <v>56.66303738398949</v>
      </c>
      <c r="F46" s="440">
        <v>53.764444492451204</v>
      </c>
      <c r="G46" s="440">
        <v>58.07383911683267</v>
      </c>
      <c r="H46" s="440">
        <v>54.87995393027911</v>
      </c>
      <c r="I46" s="440">
        <v>56.4454393257076</v>
      </c>
      <c r="J46" s="441">
        <v>62.43271579848792</v>
      </c>
      <c r="K46" s="441">
        <v>195.0264060157461</v>
      </c>
      <c r="L46" s="415">
        <v>0.058605289117633186</v>
      </c>
    </row>
    <row r="47" spans="1:12" ht="12.75">
      <c r="A47" s="119" t="s">
        <v>480</v>
      </c>
      <c r="B47" s="440">
        <v>56.970238760623</v>
      </c>
      <c r="C47" s="440">
        <v>51.916004809980954</v>
      </c>
      <c r="D47" s="440">
        <v>58.78714229947457</v>
      </c>
      <c r="E47" s="440">
        <v>64.07122552618691</v>
      </c>
      <c r="F47" s="440">
        <v>74.24963373586894</v>
      </c>
      <c r="G47" s="440">
        <v>83.0790019637455</v>
      </c>
      <c r="H47" s="440">
        <v>81.60267615990142</v>
      </c>
      <c r="I47" s="440">
        <v>86.92804270025381</v>
      </c>
      <c r="J47" s="441">
        <v>114.03533640084008</v>
      </c>
      <c r="K47" s="441">
        <v>440.01054111098193</v>
      </c>
      <c r="L47" s="415">
        <v>0.06984578909402162</v>
      </c>
    </row>
    <row r="48" spans="1:12" ht="12.75">
      <c r="A48" s="119" t="s">
        <v>481</v>
      </c>
      <c r="B48" s="440">
        <v>73.13339171362695</v>
      </c>
      <c r="C48" s="440">
        <v>66.34370895769895</v>
      </c>
      <c r="D48" s="440">
        <v>86.71365430749071</v>
      </c>
      <c r="E48" s="440">
        <v>95.60543833597808</v>
      </c>
      <c r="F48" s="440">
        <v>96.04381467636865</v>
      </c>
      <c r="G48" s="440">
        <v>109.1838833500267</v>
      </c>
      <c r="H48" s="440">
        <v>113.60770731000818</v>
      </c>
      <c r="I48" s="440">
        <v>109.66663105832468</v>
      </c>
      <c r="J48" s="441">
        <v>130.6552168673908</v>
      </c>
      <c r="K48" s="441">
        <v>539.9769925900933</v>
      </c>
      <c r="L48" s="415">
        <v>0.0735256486010234</v>
      </c>
    </row>
    <row r="49" spans="1:12" ht="12.75">
      <c r="A49" s="119" t="s">
        <v>659</v>
      </c>
      <c r="B49" s="440">
        <v>13.209239259758707</v>
      </c>
      <c r="C49" s="440">
        <v>12.12312903529932</v>
      </c>
      <c r="D49" s="440">
        <v>15.376046469986827</v>
      </c>
      <c r="E49" s="440">
        <v>20.693220603504873</v>
      </c>
      <c r="F49" s="440">
        <v>19.732687396726426</v>
      </c>
      <c r="G49" s="440">
        <v>22.594723197097572</v>
      </c>
      <c r="H49" s="440">
        <v>21.4915328781602</v>
      </c>
      <c r="I49" s="440">
        <v>22.274856444262124</v>
      </c>
      <c r="J49" s="441">
        <v>28.93723105787422</v>
      </c>
      <c r="K49" s="441">
        <v>148.8977927474241</v>
      </c>
      <c r="L49" s="415">
        <v>0.08535438295366071</v>
      </c>
    </row>
    <row r="50" spans="1:12" ht="12.75">
      <c r="A50" s="119" t="s">
        <v>660</v>
      </c>
      <c r="B50" s="440">
        <v>16.916882844181448</v>
      </c>
      <c r="C50" s="440">
        <v>17.786039859614025</v>
      </c>
      <c r="D50" s="440">
        <v>21.134652936641057</v>
      </c>
      <c r="E50" s="440">
        <v>25.157580456281735</v>
      </c>
      <c r="F50" s="440">
        <v>31.307106973552433</v>
      </c>
      <c r="G50" s="440">
        <v>36.28896978190151</v>
      </c>
      <c r="H50" s="440">
        <v>40.08260457755838</v>
      </c>
      <c r="I50" s="440">
        <v>43.80947882761863</v>
      </c>
      <c r="J50" s="441">
        <v>49.052227846033766</v>
      </c>
      <c r="K50" s="441">
        <v>294.14873270938836</v>
      </c>
      <c r="L50" s="415">
        <v>0.09369294898954839</v>
      </c>
    </row>
    <row r="51" spans="1:12" ht="12.75">
      <c r="A51" s="119" t="s">
        <v>663</v>
      </c>
      <c r="B51" s="440">
        <v>14.878164766574427</v>
      </c>
      <c r="C51" s="440">
        <v>15.24106906584575</v>
      </c>
      <c r="D51" s="440">
        <v>26.384014652108586</v>
      </c>
      <c r="E51" s="440">
        <v>31.22984560112309</v>
      </c>
      <c r="F51" s="440">
        <v>37.768221299534495</v>
      </c>
      <c r="G51" s="440">
        <v>43.220071799728565</v>
      </c>
      <c r="H51" s="440">
        <v>52.397079306641494</v>
      </c>
      <c r="I51" s="440">
        <v>69.01142145946453</v>
      </c>
      <c r="J51" s="441">
        <v>87.91855988062635</v>
      </c>
      <c r="K51" s="441">
        <v>421.81338487134974</v>
      </c>
      <c r="L51" s="415">
        <v>0.08156341788230215</v>
      </c>
    </row>
    <row r="52" spans="1:12" ht="12.75">
      <c r="A52" s="119" t="s">
        <v>190</v>
      </c>
      <c r="B52" s="440">
        <v>3279.0920000000006</v>
      </c>
      <c r="C52" s="440">
        <v>3304.1760000000027</v>
      </c>
      <c r="D52" s="440">
        <v>3754.33</v>
      </c>
      <c r="E52" s="440">
        <v>4026.273999999999</v>
      </c>
      <c r="F52" s="440">
        <v>4233.615966354</v>
      </c>
      <c r="G52" s="440">
        <v>4538.853693633996</v>
      </c>
      <c r="H52" s="440">
        <v>4611.475352732135</v>
      </c>
      <c r="I52" s="440">
        <v>4519.245845677497</v>
      </c>
      <c r="J52" s="441">
        <v>4880.785513331697</v>
      </c>
      <c r="K52" s="441">
        <v>13312.460913023724</v>
      </c>
      <c r="L52" s="415">
        <v>0.051449529809793004</v>
      </c>
    </row>
  </sheetData>
  <hyperlinks>
    <hyperlink ref="A2" r:id="rId1" display="http://www.boeing.com/cmo"/>
  </hyperlinks>
  <printOptions/>
  <pageMargins left="0.75" right="0.75" top="1" bottom="1" header="0.5" footer="0.5"/>
  <pageSetup fitToHeight="1" fitToWidth="1" horizontalDpi="1200" verticalDpi="1200" orientation="portrait" scale="67" r:id="rId2"/>
  <headerFooter alignWithMargins="0">
    <oddFooter>&amp;L&amp;"Arial,Italic"Boeing Current Market Outlook 2009-2028&amp;R© Boeing 2009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1:J35"/>
  <sheetViews>
    <sheetView showGridLines="0" showZeros="0" workbookViewId="0" topLeftCell="A1">
      <selection activeCell="J29" sqref="J29"/>
    </sheetView>
  </sheetViews>
  <sheetFormatPr defaultColWidth="11.421875" defaultRowHeight="12.75"/>
  <cols>
    <col min="1" max="1" width="10.00390625" style="65" customWidth="1"/>
    <col min="2" max="2" width="10.421875" style="65" customWidth="1"/>
    <col min="3" max="3" width="10.00390625" style="65" customWidth="1"/>
    <col min="4" max="4" width="9.8515625" style="65" customWidth="1"/>
    <col min="5" max="5" width="9.7109375" style="65" customWidth="1"/>
    <col min="6" max="6" width="9.421875" style="65" customWidth="1"/>
    <col min="7" max="7" width="7.28125" style="65" customWidth="1"/>
    <col min="8" max="16384" width="9.140625" style="0" customWidth="1"/>
  </cols>
  <sheetData>
    <row r="1" spans="1:3" ht="15.75">
      <c r="A1" s="78" t="str">
        <f>'Region summary'!B1</f>
        <v>© Boeing 2011</v>
      </c>
      <c r="C1" s="35"/>
    </row>
    <row r="2" ht="15.75">
      <c r="A2" s="80" t="str">
        <f>'Region summary'!B2</f>
        <v>Boeing Current Market Outlook 2011 to 2030</v>
      </c>
    </row>
    <row r="7" ht="12.75">
      <c r="A7" s="116" t="s">
        <v>482</v>
      </c>
    </row>
    <row r="9" spans="1:10" ht="12.75">
      <c r="A9" s="117" t="str">
        <f>"Airline passenger growth rates (RPKs): "&amp;'Airplane demand summary'!B8</f>
        <v>Airline passenger growth rates (RPKs): 2010 to 2030</v>
      </c>
      <c r="B9" s="118"/>
      <c r="C9" s="118"/>
      <c r="D9" s="118"/>
      <c r="E9" s="118"/>
      <c r="F9" s="118"/>
      <c r="G9" s="118"/>
      <c r="H9" s="13"/>
      <c r="I9" s="13"/>
      <c r="J9" s="119"/>
    </row>
    <row r="10" spans="1:10" ht="27" customHeight="1">
      <c r="A10" s="118"/>
      <c r="B10" s="120" t="s">
        <v>105</v>
      </c>
      <c r="C10" s="120" t="s">
        <v>104</v>
      </c>
      <c r="D10" s="120" t="s">
        <v>103</v>
      </c>
      <c r="E10" s="120" t="s">
        <v>102</v>
      </c>
      <c r="F10" s="120" t="s">
        <v>101</v>
      </c>
      <c r="G10" s="120" t="s">
        <v>483</v>
      </c>
      <c r="H10" s="121"/>
      <c r="I10" s="122"/>
      <c r="J10" s="119"/>
    </row>
    <row r="11" spans="1:10" ht="21" customHeight="1">
      <c r="A11" s="123" t="s">
        <v>483</v>
      </c>
      <c r="B11" s="433">
        <v>8.1</v>
      </c>
      <c r="C11" s="433">
        <v>5.7</v>
      </c>
      <c r="D11" s="433">
        <v>7.2</v>
      </c>
      <c r="E11" s="433">
        <v>5.9</v>
      </c>
      <c r="F11" s="433">
        <v>5.1</v>
      </c>
      <c r="G11" s="433">
        <v>7</v>
      </c>
      <c r="H11" s="433"/>
      <c r="I11" s="65"/>
      <c r="J11" s="124"/>
    </row>
    <row r="12" spans="1:10" ht="24" customHeight="1">
      <c r="A12" s="123" t="s">
        <v>101</v>
      </c>
      <c r="B12" s="433">
        <v>6.4</v>
      </c>
      <c r="C12" s="433">
        <v>5.4</v>
      </c>
      <c r="D12" s="433">
        <v>7.3</v>
      </c>
      <c r="E12" s="433">
        <v>3.6</v>
      </c>
      <c r="F12" s="433">
        <v>2.3</v>
      </c>
      <c r="G12" s="433"/>
      <c r="H12" s="433"/>
      <c r="I12" s="126"/>
      <c r="J12" s="127"/>
    </row>
    <row r="13" spans="1:10" ht="24" customHeight="1">
      <c r="A13" s="123" t="s">
        <v>102</v>
      </c>
      <c r="B13" s="433">
        <v>4.6</v>
      </c>
      <c r="C13" s="433">
        <v>4.8</v>
      </c>
      <c r="D13" s="433">
        <v>5.4</v>
      </c>
      <c r="E13" s="433">
        <v>4</v>
      </c>
      <c r="F13" s="433"/>
      <c r="G13" s="433"/>
      <c r="H13" s="433"/>
      <c r="I13" s="126"/>
      <c r="J13" s="127"/>
    </row>
    <row r="14" spans="1:10" ht="24" customHeight="1">
      <c r="A14" s="123" t="s">
        <v>103</v>
      </c>
      <c r="B14" s="433">
        <v>6.4</v>
      </c>
      <c r="C14" s="433" t="s">
        <v>484</v>
      </c>
      <c r="D14" s="433">
        <v>5</v>
      </c>
      <c r="E14" s="433"/>
      <c r="F14" s="433"/>
      <c r="G14" s="433"/>
      <c r="H14" s="433"/>
      <c r="I14" s="126"/>
      <c r="J14" s="127"/>
    </row>
    <row r="15" spans="1:10" ht="24" customHeight="1">
      <c r="A15" s="123" t="s">
        <v>104</v>
      </c>
      <c r="B15" s="433">
        <v>6</v>
      </c>
      <c r="C15" s="433">
        <v>6.7</v>
      </c>
      <c r="D15" s="433"/>
      <c r="E15" s="433"/>
      <c r="F15" s="433"/>
      <c r="G15" s="433"/>
      <c r="H15" s="433"/>
      <c r="I15" s="126"/>
      <c r="J15" s="127"/>
    </row>
    <row r="16" spans="1:10" ht="24" customHeight="1">
      <c r="A16" s="123" t="s">
        <v>105</v>
      </c>
      <c r="B16" s="433">
        <v>5.1</v>
      </c>
      <c r="C16" s="433"/>
      <c r="D16" s="433"/>
      <c r="E16" s="433"/>
      <c r="F16" s="433"/>
      <c r="G16" s="433"/>
      <c r="H16" s="433"/>
      <c r="I16" s="119"/>
      <c r="J16" s="127"/>
    </row>
    <row r="17" spans="1:10" ht="24" customHeight="1">
      <c r="A17" s="128"/>
      <c r="B17" s="118"/>
      <c r="C17" s="118"/>
      <c r="D17" s="118"/>
      <c r="E17" s="118"/>
      <c r="F17" s="118"/>
      <c r="G17" s="118"/>
      <c r="H17" s="125"/>
      <c r="I17" s="129"/>
      <c r="J17" s="127"/>
    </row>
    <row r="18" spans="1:10" ht="24" customHeight="1">
      <c r="A18" s="117" t="str">
        <f>"Airline passenger traffic (RPKs in billions) in "&amp;'Airplane demand summary'!C46</f>
        <v>Airline passenger traffic (RPKs in billions) in 2010</v>
      </c>
      <c r="B18" s="130"/>
      <c r="C18" s="54"/>
      <c r="D18" s="54"/>
      <c r="E18" s="130"/>
      <c r="F18" s="51"/>
      <c r="G18" s="54"/>
      <c r="H18" s="125"/>
      <c r="J18" s="131"/>
    </row>
    <row r="19" spans="1:10" ht="24" customHeight="1">
      <c r="A19" s="118"/>
      <c r="B19" s="120" t="s">
        <v>105</v>
      </c>
      <c r="C19" s="120" t="s">
        <v>104</v>
      </c>
      <c r="D19" s="120" t="s">
        <v>103</v>
      </c>
      <c r="E19" s="120" t="s">
        <v>102</v>
      </c>
      <c r="F19" s="120" t="s">
        <v>101</v>
      </c>
      <c r="G19" s="120" t="s">
        <v>483</v>
      </c>
      <c r="H19" s="125"/>
      <c r="J19" s="132"/>
    </row>
    <row r="20" spans="1:10" ht="24" customHeight="1">
      <c r="A20" s="123" t="s">
        <v>483</v>
      </c>
      <c r="B20" s="416">
        <v>17.6</v>
      </c>
      <c r="C20" s="416">
        <v>3.1</v>
      </c>
      <c r="D20" s="416">
        <v>175.6</v>
      </c>
      <c r="E20" s="416">
        <v>297.3</v>
      </c>
      <c r="F20" s="416">
        <v>253.1</v>
      </c>
      <c r="G20" s="417">
        <v>990.7</v>
      </c>
      <c r="H20" s="125"/>
      <c r="J20" s="132"/>
    </row>
    <row r="21" spans="1:10" ht="24" customHeight="1">
      <c r="A21" s="123" t="s">
        <v>101</v>
      </c>
      <c r="B21" s="416">
        <v>11.4</v>
      </c>
      <c r="C21" s="416">
        <v>172.6</v>
      </c>
      <c r="D21" s="416">
        <v>46</v>
      </c>
      <c r="E21" s="416">
        <v>423.8</v>
      </c>
      <c r="F21" s="417">
        <v>918</v>
      </c>
      <c r="G21" s="416"/>
      <c r="H21" s="125"/>
      <c r="J21" s="132"/>
    </row>
    <row r="22" spans="1:10" ht="24" customHeight="1">
      <c r="A22" s="123" t="s">
        <v>102</v>
      </c>
      <c r="B22" s="416">
        <v>138.1</v>
      </c>
      <c r="C22" s="416">
        <v>156.8</v>
      </c>
      <c r="D22" s="416">
        <v>143.7</v>
      </c>
      <c r="E22" s="417">
        <v>644.1</v>
      </c>
      <c r="F22" s="416"/>
      <c r="G22" s="416"/>
      <c r="H22" s="125"/>
      <c r="J22" s="132"/>
    </row>
    <row r="23" spans="1:10" ht="24" customHeight="1">
      <c r="A23" s="123" t="s">
        <v>103</v>
      </c>
      <c r="B23" s="416">
        <v>35.7</v>
      </c>
      <c r="C23" s="439" t="s">
        <v>484</v>
      </c>
      <c r="D23" s="417">
        <v>77</v>
      </c>
      <c r="E23" s="416"/>
      <c r="F23" s="416"/>
      <c r="G23" s="416"/>
      <c r="H23" s="121"/>
      <c r="J23" s="119"/>
    </row>
    <row r="24" spans="1:10" ht="24" customHeight="1">
      <c r="A24" s="123" t="s">
        <v>104</v>
      </c>
      <c r="B24" s="416">
        <v>3.1</v>
      </c>
      <c r="C24" s="417">
        <v>164.4</v>
      </c>
      <c r="D24" s="416"/>
      <c r="E24" s="416"/>
      <c r="F24" s="416"/>
      <c r="G24" s="416"/>
      <c r="H24" s="133"/>
      <c r="J24" s="134"/>
    </row>
    <row r="25" spans="1:10" ht="24" customHeight="1">
      <c r="A25" s="123" t="s">
        <v>105</v>
      </c>
      <c r="B25" s="417">
        <v>50</v>
      </c>
      <c r="C25" s="416"/>
      <c r="D25" s="416"/>
      <c r="E25" s="416"/>
      <c r="F25" s="416"/>
      <c r="G25" s="416"/>
      <c r="H25" s="121"/>
      <c r="J25" s="119"/>
    </row>
    <row r="26" spans="1:10" ht="24" customHeight="1">
      <c r="A26" s="118"/>
      <c r="B26" s="118"/>
      <c r="C26" s="118"/>
      <c r="D26" s="118"/>
      <c r="E26" s="118"/>
      <c r="F26" s="118"/>
      <c r="G26" s="118"/>
      <c r="H26" s="125"/>
      <c r="J26" s="132"/>
    </row>
    <row r="27" spans="1:10" ht="24" customHeight="1">
      <c r="A27" s="117" t="str">
        <f>"Airline passenger traffic (RPKs in billions) in "&amp;'Airplane demand summary'!D46</f>
        <v>Airline passenger traffic (RPKs in billions) in 2030</v>
      </c>
      <c r="B27" s="118"/>
      <c r="C27" s="118"/>
      <c r="D27" s="118"/>
      <c r="E27" s="118"/>
      <c r="F27" s="118"/>
      <c r="G27" s="118"/>
      <c r="H27" s="125"/>
      <c r="J27" s="132"/>
    </row>
    <row r="28" spans="1:10" ht="24" customHeight="1">
      <c r="A28" s="118"/>
      <c r="B28" s="120" t="s">
        <v>105</v>
      </c>
      <c r="C28" s="120" t="s">
        <v>104</v>
      </c>
      <c r="D28" s="120" t="s">
        <v>103</v>
      </c>
      <c r="E28" s="120" t="s">
        <v>102</v>
      </c>
      <c r="F28" s="120" t="s">
        <v>101</v>
      </c>
      <c r="G28" s="120" t="s">
        <v>483</v>
      </c>
      <c r="H28" s="125"/>
      <c r="I28" s="132"/>
      <c r="J28" s="132"/>
    </row>
    <row r="29" spans="1:10" ht="24" customHeight="1">
      <c r="A29" s="123" t="s">
        <v>483</v>
      </c>
      <c r="B29" s="416">
        <v>83.9</v>
      </c>
      <c r="C29" s="416">
        <v>9.3</v>
      </c>
      <c r="D29" s="416">
        <v>702.2</v>
      </c>
      <c r="E29" s="416">
        <v>936.4</v>
      </c>
      <c r="F29" s="416">
        <v>683.7</v>
      </c>
      <c r="G29" s="417">
        <v>3861.1</v>
      </c>
      <c r="H29" s="125"/>
      <c r="I29" s="132"/>
      <c r="J29" s="132"/>
    </row>
    <row r="30" spans="1:10" ht="24" customHeight="1">
      <c r="A30" s="123" t="s">
        <v>101</v>
      </c>
      <c r="B30" s="416">
        <v>39.7</v>
      </c>
      <c r="C30" s="416">
        <v>489.8</v>
      </c>
      <c r="D30" s="416">
        <v>187.7</v>
      </c>
      <c r="E30" s="416">
        <v>863</v>
      </c>
      <c r="F30" s="417">
        <v>1444.6</v>
      </c>
      <c r="G30" s="416"/>
      <c r="H30" s="125"/>
      <c r="I30" s="132"/>
      <c r="J30" s="132"/>
    </row>
    <row r="31" spans="1:10" ht="24" customHeight="1">
      <c r="A31" s="123" t="s">
        <v>102</v>
      </c>
      <c r="B31" s="416">
        <v>339.2</v>
      </c>
      <c r="C31" s="416">
        <v>398.5</v>
      </c>
      <c r="D31" s="416">
        <v>413.1</v>
      </c>
      <c r="E31" s="417">
        <v>1412.4</v>
      </c>
      <c r="F31" s="416"/>
      <c r="G31" s="416"/>
      <c r="H31" s="125"/>
      <c r="I31" s="132"/>
      <c r="J31" s="132"/>
    </row>
    <row r="32" spans="1:10" ht="24" customHeight="1">
      <c r="A32" s="123" t="s">
        <v>103</v>
      </c>
      <c r="B32" s="416">
        <v>122.8</v>
      </c>
      <c r="C32" s="439" t="s">
        <v>484</v>
      </c>
      <c r="D32" s="417">
        <v>205.3</v>
      </c>
      <c r="E32" s="416"/>
      <c r="F32" s="416"/>
      <c r="G32" s="416"/>
      <c r="H32" s="125"/>
      <c r="I32" s="132"/>
      <c r="J32" s="132"/>
    </row>
    <row r="33" spans="1:10" ht="24" customHeight="1">
      <c r="A33" s="123" t="s">
        <v>104</v>
      </c>
      <c r="B33" s="416">
        <v>10</v>
      </c>
      <c r="C33" s="417">
        <v>600.8</v>
      </c>
      <c r="D33" s="416"/>
      <c r="E33" s="416"/>
      <c r="F33" s="416"/>
      <c r="G33" s="416"/>
      <c r="H33" s="125"/>
      <c r="I33" s="132"/>
      <c r="J33" s="132"/>
    </row>
    <row r="34" spans="1:10" ht="12.75">
      <c r="A34" s="123" t="s">
        <v>105</v>
      </c>
      <c r="B34" s="417">
        <v>136.2</v>
      </c>
      <c r="C34" s="416"/>
      <c r="D34" s="416"/>
      <c r="E34" s="416"/>
      <c r="F34" s="416"/>
      <c r="G34" s="416"/>
      <c r="H34" s="121"/>
      <c r="I34" s="13"/>
      <c r="J34" s="119"/>
    </row>
    <row r="35" spans="1:10" ht="12.75">
      <c r="A35" s="135"/>
      <c r="B35" s="361"/>
      <c r="C35" s="361"/>
      <c r="D35" s="361"/>
      <c r="E35" s="361"/>
      <c r="F35" s="361"/>
      <c r="G35" s="361"/>
      <c r="H35" s="13"/>
      <c r="I35" s="13"/>
      <c r="J35" s="119"/>
    </row>
  </sheetData>
  <hyperlinks>
    <hyperlink ref="A2" r:id="rId1" display="http://www.boeing.com/cmo"/>
  </hyperlinks>
  <printOptions/>
  <pageMargins left="0.75" right="0.75" top="1" bottom="1" header="0.5" footer="0.5"/>
  <pageSetup fitToHeight="1" fitToWidth="1" horizontalDpi="1200" verticalDpi="1200" orientation="portrait" paperSize="9" scale="99" r:id="rId2"/>
  <headerFooter alignWithMargins="0">
    <oddFooter>&amp;L&amp;"Arial,Italic"Boeing Current Market Outlook 2009-2028&amp;R© Boeing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indexed="20"/>
    <pageSetUpPr fitToPage="1"/>
  </sheetPr>
  <dimension ref="A1:IU39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19.140625" style="0" customWidth="1"/>
    <col min="2" max="16384" width="9.140625" style="0" customWidth="1"/>
  </cols>
  <sheetData>
    <row r="1" ht="15.75">
      <c r="A1" s="78" t="str">
        <f>'Region summary'!B1</f>
        <v>© Boeing 2011</v>
      </c>
    </row>
    <row r="2" ht="15.75">
      <c r="A2" s="80" t="str">
        <f>'Region summary'!B2</f>
        <v>Boeing Current Market Outlook 2011 to 2030</v>
      </c>
    </row>
    <row r="4" spans="1:255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</row>
    <row r="5" spans="1:255" ht="12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</row>
    <row r="8" spans="1:10" ht="12.75">
      <c r="A8" s="136" t="s">
        <v>6</v>
      </c>
      <c r="B8" s="54"/>
      <c r="C8" s="54"/>
      <c r="D8" s="54"/>
      <c r="E8" s="130"/>
      <c r="F8" s="130"/>
      <c r="G8" s="130"/>
      <c r="H8" s="130"/>
      <c r="I8" s="54"/>
      <c r="J8" s="137"/>
    </row>
    <row r="9" spans="1:10" ht="12.75">
      <c r="A9" s="138" t="s">
        <v>485</v>
      </c>
      <c r="B9" s="139"/>
      <c r="C9" s="139"/>
      <c r="D9" s="139"/>
      <c r="E9" s="139"/>
      <c r="F9" s="139"/>
      <c r="G9" s="140"/>
      <c r="H9" s="139"/>
      <c r="I9" s="54"/>
      <c r="J9" s="137"/>
    </row>
    <row r="10" spans="1:10" ht="22.5">
      <c r="A10" s="54"/>
      <c r="B10" s="141" t="s">
        <v>483</v>
      </c>
      <c r="C10" s="141" t="s">
        <v>101</v>
      </c>
      <c r="D10" s="141" t="s">
        <v>102</v>
      </c>
      <c r="E10" s="141" t="s">
        <v>103</v>
      </c>
      <c r="F10" s="141" t="s">
        <v>104</v>
      </c>
      <c r="G10" s="141" t="s">
        <v>105</v>
      </c>
      <c r="H10" s="142"/>
      <c r="I10" s="54"/>
      <c r="J10" s="64"/>
    </row>
    <row r="11" spans="1:10" ht="20.25" customHeight="1">
      <c r="A11" s="143" t="s">
        <v>483</v>
      </c>
      <c r="B11" s="144">
        <v>0.57</v>
      </c>
      <c r="C11" s="145">
        <v>0.14</v>
      </c>
      <c r="D11" s="145">
        <v>0.16</v>
      </c>
      <c r="E11" s="145">
        <v>0.37</v>
      </c>
      <c r="F11" s="145">
        <v>0.01</v>
      </c>
      <c r="G11" s="145">
        <v>0.07</v>
      </c>
      <c r="H11" s="146" t="s">
        <v>483</v>
      </c>
      <c r="I11" s="54"/>
      <c r="J11" s="64"/>
    </row>
    <row r="12" spans="1:10" ht="20.25" customHeight="1">
      <c r="A12" s="143" t="s">
        <v>101</v>
      </c>
      <c r="B12" s="145">
        <v>0.15</v>
      </c>
      <c r="C12" s="144">
        <v>0.5</v>
      </c>
      <c r="D12" s="145">
        <v>0.23</v>
      </c>
      <c r="E12" s="145">
        <v>0.1</v>
      </c>
      <c r="F12" s="145">
        <v>0.33</v>
      </c>
      <c r="G12" s="145">
        <v>0.04</v>
      </c>
      <c r="H12" s="146" t="s">
        <v>101</v>
      </c>
      <c r="I12" s="54"/>
      <c r="J12" s="64"/>
    </row>
    <row r="13" spans="1:10" ht="20.25" customHeight="1">
      <c r="A13" s="143" t="s">
        <v>102</v>
      </c>
      <c r="B13" s="145">
        <v>0.17</v>
      </c>
      <c r="C13" s="145">
        <v>0.23</v>
      </c>
      <c r="D13" s="144">
        <v>0.36</v>
      </c>
      <c r="E13" s="145">
        <v>0.3</v>
      </c>
      <c r="F13" s="145">
        <v>0.31</v>
      </c>
      <c r="G13" s="145">
        <v>0.54</v>
      </c>
      <c r="H13" s="146" t="s">
        <v>102</v>
      </c>
      <c r="I13" s="54"/>
      <c r="J13" s="64"/>
    </row>
    <row r="14" spans="1:10" ht="20.25" customHeight="1">
      <c r="A14" s="143" t="s">
        <v>103</v>
      </c>
      <c r="B14" s="145">
        <v>0.1</v>
      </c>
      <c r="C14" s="145">
        <v>0.03</v>
      </c>
      <c r="D14" s="145">
        <v>0.08</v>
      </c>
      <c r="E14" s="144">
        <v>0.16</v>
      </c>
      <c r="F14" s="145" t="s">
        <v>484</v>
      </c>
      <c r="G14" s="145">
        <v>0.14</v>
      </c>
      <c r="H14" s="146" t="s">
        <v>103</v>
      </c>
      <c r="I14" s="54"/>
      <c r="J14" s="64"/>
    </row>
    <row r="15" spans="1:10" ht="20.25" customHeight="1">
      <c r="A15" s="143" t="s">
        <v>104</v>
      </c>
      <c r="B15" s="145" t="s">
        <v>484</v>
      </c>
      <c r="C15" s="145">
        <v>0.09</v>
      </c>
      <c r="D15" s="145">
        <v>0.09</v>
      </c>
      <c r="E15" s="147" t="s">
        <v>484</v>
      </c>
      <c r="F15" s="144">
        <v>0.35</v>
      </c>
      <c r="G15" s="145">
        <v>0.01</v>
      </c>
      <c r="H15" s="146" t="s">
        <v>104</v>
      </c>
      <c r="I15" s="65"/>
      <c r="J15" s="64"/>
    </row>
    <row r="16" spans="1:10" ht="20.25" customHeight="1">
      <c r="A16" s="143" t="s">
        <v>105</v>
      </c>
      <c r="B16" s="145">
        <v>0.01</v>
      </c>
      <c r="C16" s="145">
        <v>0.01</v>
      </c>
      <c r="D16" s="145">
        <v>0.08</v>
      </c>
      <c r="E16" s="145">
        <v>0.07</v>
      </c>
      <c r="F16" s="145">
        <v>0.01</v>
      </c>
      <c r="G16" s="144">
        <v>0.2</v>
      </c>
      <c r="H16" s="146" t="s">
        <v>105</v>
      </c>
      <c r="I16" s="54"/>
      <c r="J16" s="64"/>
    </row>
    <row r="17" spans="1:10" ht="20.25" customHeight="1">
      <c r="A17" s="143" t="s">
        <v>486</v>
      </c>
      <c r="B17" s="145">
        <v>1</v>
      </c>
      <c r="C17" s="145">
        <v>1</v>
      </c>
      <c r="D17" s="145">
        <v>1</v>
      </c>
      <c r="E17" s="145">
        <v>1</v>
      </c>
      <c r="F17" s="145">
        <v>1</v>
      </c>
      <c r="G17" s="145">
        <v>1</v>
      </c>
      <c r="H17" s="146" t="s">
        <v>486</v>
      </c>
      <c r="I17" s="54"/>
      <c r="J17" s="137"/>
    </row>
    <row r="18" spans="1:10" ht="12.75">
      <c r="A18" s="148" t="s">
        <v>668</v>
      </c>
      <c r="B18" s="54"/>
      <c r="C18" s="118"/>
      <c r="D18" s="118"/>
      <c r="E18" s="118"/>
      <c r="F18" s="118"/>
      <c r="G18" s="118"/>
      <c r="H18" s="118"/>
      <c r="I18" s="54"/>
      <c r="J18" s="137"/>
    </row>
    <row r="19" spans="1:10" ht="12.75">
      <c r="A19" s="65"/>
      <c r="B19" s="65"/>
      <c r="C19" s="65"/>
      <c r="D19" s="65"/>
      <c r="E19" s="65"/>
      <c r="F19" s="65"/>
      <c r="G19" s="65"/>
      <c r="H19" s="65"/>
      <c r="I19" s="65"/>
      <c r="J19" s="137"/>
    </row>
    <row r="20" spans="1:10" ht="12.75">
      <c r="A20" s="54"/>
      <c r="B20" s="54"/>
      <c r="C20" s="54"/>
      <c r="D20" s="54"/>
      <c r="E20" s="130"/>
      <c r="F20" s="130"/>
      <c r="G20" s="130"/>
      <c r="H20" s="130"/>
      <c r="I20" s="54"/>
      <c r="J20" s="137"/>
    </row>
    <row r="21" spans="1:10" ht="12.75">
      <c r="A21" s="136" t="s">
        <v>7</v>
      </c>
      <c r="B21" s="136"/>
      <c r="C21" s="54"/>
      <c r="D21" s="54"/>
      <c r="E21" s="130"/>
      <c r="F21" s="130"/>
      <c r="G21" s="130"/>
      <c r="H21" s="130"/>
      <c r="I21" s="54"/>
      <c r="J21" s="137"/>
    </row>
    <row r="22" spans="1:10" ht="12.75">
      <c r="A22" s="138" t="s">
        <v>485</v>
      </c>
      <c r="B22" s="54"/>
      <c r="C22" s="54"/>
      <c r="D22" s="54"/>
      <c r="E22" s="130"/>
      <c r="F22" s="130"/>
      <c r="G22" s="130"/>
      <c r="H22" s="130"/>
      <c r="I22" s="54"/>
      <c r="J22" s="137"/>
    </row>
    <row r="23" spans="1:10" ht="22.5">
      <c r="A23" s="54"/>
      <c r="B23" s="141" t="s">
        <v>483</v>
      </c>
      <c r="C23" s="141" t="s">
        <v>101</v>
      </c>
      <c r="D23" s="141" t="s">
        <v>102</v>
      </c>
      <c r="E23" s="141" t="s">
        <v>103</v>
      </c>
      <c r="F23" s="141" t="s">
        <v>104</v>
      </c>
      <c r="G23" s="141" t="s">
        <v>105</v>
      </c>
      <c r="H23" s="142"/>
      <c r="I23" s="54"/>
      <c r="J23" s="137"/>
    </row>
    <row r="24" spans="1:10" ht="19.5" customHeight="1">
      <c r="A24" s="143" t="s">
        <v>483</v>
      </c>
      <c r="B24" s="144">
        <v>0.62</v>
      </c>
      <c r="C24" s="145">
        <v>0.18</v>
      </c>
      <c r="D24" s="145">
        <v>0.22</v>
      </c>
      <c r="E24" s="145">
        <v>0.43</v>
      </c>
      <c r="F24" s="145">
        <v>0.01</v>
      </c>
      <c r="G24" s="145">
        <v>0.11</v>
      </c>
      <c r="H24" s="146" t="s">
        <v>483</v>
      </c>
      <c r="I24" s="54"/>
      <c r="J24" s="137"/>
    </row>
    <row r="25" spans="1:10" ht="19.5" customHeight="1">
      <c r="A25" s="143" t="s">
        <v>101</v>
      </c>
      <c r="B25" s="145">
        <v>0.11</v>
      </c>
      <c r="C25" s="144">
        <v>0.39</v>
      </c>
      <c r="D25" s="145">
        <v>0.2</v>
      </c>
      <c r="E25" s="145">
        <v>0.12</v>
      </c>
      <c r="F25" s="145">
        <v>0.32</v>
      </c>
      <c r="G25" s="145">
        <v>0.05</v>
      </c>
      <c r="H25" s="146" t="s">
        <v>101</v>
      </c>
      <c r="I25" s="54"/>
      <c r="J25" s="137"/>
    </row>
    <row r="26" spans="1:10" ht="19.5" customHeight="1">
      <c r="A26" s="143" t="s">
        <v>102</v>
      </c>
      <c r="B26" s="145">
        <v>0.15</v>
      </c>
      <c r="C26" s="145">
        <v>0.23</v>
      </c>
      <c r="D26" s="144">
        <v>0.32</v>
      </c>
      <c r="E26" s="145">
        <v>0.25</v>
      </c>
      <c r="F26" s="145">
        <v>0.26</v>
      </c>
      <c r="G26" s="145">
        <v>0.46</v>
      </c>
      <c r="H26" s="146" t="s">
        <v>102</v>
      </c>
      <c r="I26" s="54"/>
      <c r="J26" s="137"/>
    </row>
    <row r="27" spans="1:10" ht="19.5" customHeight="1">
      <c r="A27" s="143" t="s">
        <v>103</v>
      </c>
      <c r="B27" s="145">
        <v>0.11</v>
      </c>
      <c r="C27" s="145">
        <v>0.05</v>
      </c>
      <c r="D27" s="145">
        <v>0.09</v>
      </c>
      <c r="E27" s="144">
        <v>0.18</v>
      </c>
      <c r="F27" s="145" t="s">
        <v>484</v>
      </c>
      <c r="G27" s="145">
        <v>0.17</v>
      </c>
      <c r="H27" s="146" t="s">
        <v>103</v>
      </c>
      <c r="I27" s="54"/>
      <c r="J27" s="137"/>
    </row>
    <row r="28" spans="1:10" ht="19.5" customHeight="1">
      <c r="A28" s="143" t="s">
        <v>104</v>
      </c>
      <c r="B28" s="145" t="s">
        <v>484</v>
      </c>
      <c r="C28" s="145">
        <v>0.13</v>
      </c>
      <c r="D28" s="145">
        <v>0.09</v>
      </c>
      <c r="E28" s="149" t="s">
        <v>484</v>
      </c>
      <c r="F28" s="144">
        <v>0.4</v>
      </c>
      <c r="G28" s="145">
        <v>0.01</v>
      </c>
      <c r="H28" s="146" t="s">
        <v>104</v>
      </c>
      <c r="I28" s="65"/>
      <c r="J28" s="137"/>
    </row>
    <row r="29" spans="1:10" ht="19.5" customHeight="1">
      <c r="A29" s="143" t="s">
        <v>105</v>
      </c>
      <c r="B29" s="145">
        <v>0.01</v>
      </c>
      <c r="C29" s="145">
        <v>0.01</v>
      </c>
      <c r="D29" s="145">
        <v>0.08</v>
      </c>
      <c r="E29" s="145">
        <v>0.08</v>
      </c>
      <c r="F29" s="145">
        <v>0.01</v>
      </c>
      <c r="G29" s="144">
        <v>0.19</v>
      </c>
      <c r="H29" s="146" t="s">
        <v>105</v>
      </c>
      <c r="I29" s="54"/>
      <c r="J29" s="137"/>
    </row>
    <row r="30" spans="1:10" ht="19.5" customHeight="1">
      <c r="A30" s="143" t="s">
        <v>486</v>
      </c>
      <c r="B30" s="145">
        <v>1</v>
      </c>
      <c r="C30" s="145">
        <v>1</v>
      </c>
      <c r="D30" s="145">
        <v>1</v>
      </c>
      <c r="E30" s="145">
        <v>1</v>
      </c>
      <c r="F30" s="145">
        <v>1</v>
      </c>
      <c r="G30" s="145">
        <v>1</v>
      </c>
      <c r="H30" s="146" t="s">
        <v>486</v>
      </c>
      <c r="I30" s="54"/>
      <c r="J30" s="137"/>
    </row>
    <row r="31" spans="1:10" ht="12.75">
      <c r="A31" s="148" t="s">
        <v>668</v>
      </c>
      <c r="B31" s="54"/>
      <c r="C31" s="118"/>
      <c r="D31" s="118"/>
      <c r="E31" s="118"/>
      <c r="F31" s="118"/>
      <c r="G31" s="118"/>
      <c r="H31" s="118"/>
      <c r="I31" s="54"/>
      <c r="J31" s="137"/>
    </row>
    <row r="35" spans="1:8" ht="15">
      <c r="A35" s="150" t="s">
        <v>487</v>
      </c>
      <c r="B35" s="54"/>
      <c r="C35" s="54"/>
      <c r="D35" s="130"/>
      <c r="E35" s="130"/>
      <c r="F35" s="130"/>
      <c r="G35" s="130"/>
      <c r="H35" s="54"/>
    </row>
    <row r="36" spans="1:8" ht="12.75">
      <c r="A36" s="446" t="s">
        <v>488</v>
      </c>
      <c r="B36" s="446"/>
      <c r="C36" s="446"/>
      <c r="D36" s="446"/>
      <c r="E36" s="446"/>
      <c r="F36" s="446"/>
      <c r="G36" s="446"/>
      <c r="H36" s="446"/>
    </row>
    <row r="37" spans="1:8" ht="12.75">
      <c r="A37" s="151"/>
      <c r="B37" s="54"/>
      <c r="C37" s="54"/>
      <c r="D37" s="54"/>
      <c r="E37" s="54"/>
      <c r="F37" s="54"/>
      <c r="G37" s="54"/>
      <c r="H37" s="54"/>
    </row>
    <row r="38" spans="1:8" ht="12.75">
      <c r="A38" s="151" t="s">
        <v>8</v>
      </c>
      <c r="B38" s="54"/>
      <c r="C38" s="54"/>
      <c r="D38" s="54"/>
      <c r="E38" s="54"/>
      <c r="F38" s="54"/>
      <c r="G38" s="54"/>
      <c r="H38" s="54"/>
    </row>
    <row r="39" spans="1:8" ht="12.75">
      <c r="A39" s="151" t="s">
        <v>9</v>
      </c>
      <c r="B39" s="54"/>
      <c r="C39" s="54"/>
      <c r="D39" s="54"/>
      <c r="E39" s="54"/>
      <c r="F39" s="54"/>
      <c r="G39" s="54"/>
      <c r="H39" s="54"/>
    </row>
  </sheetData>
  <mergeCells count="1">
    <mergeCell ref="A36:H36"/>
  </mergeCells>
  <hyperlinks>
    <hyperlink ref="A2" r:id="rId1" display="http://www.boeing.com/cmo"/>
  </hyperlinks>
  <printOptions/>
  <pageMargins left="0.75" right="0.75" top="1" bottom="1" header="0.5" footer="0.5"/>
  <pageSetup fitToHeight="1" fitToWidth="1" horizontalDpi="1200" verticalDpi="1200" orientation="portrait" scale="81" r:id="rId2"/>
  <headerFooter alignWithMargins="0">
    <oddFooter>&amp;L&amp;"Arial,Italic"Boeing Current Market Outlook 2009-2028&amp;R© Boeing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on824c</dc:creator>
  <cp:keywords/>
  <dc:description/>
  <cp:lastModifiedBy>admin</cp:lastModifiedBy>
  <cp:lastPrinted>2011-06-15T22:18:34Z</cp:lastPrinted>
  <dcterms:created xsi:type="dcterms:W3CDTF">2009-03-16T19:06:54Z</dcterms:created>
  <dcterms:modified xsi:type="dcterms:W3CDTF">2014-02-11T08:14:59Z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